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https://paralympijskyvybor-my.sharepoint.com/personal/mezik_sztps_sk/Documents/na_web/SZTPS/WEB/zverejnovanie/06-cerpanie_dotacie/2025/"/>
    </mc:Choice>
  </mc:AlternateContent>
  <xr:revisionPtr revIDLastSave="0" documentId="8_{27C1E41B-D955-7C4D-B75A-881FFF546F11}" xr6:coauthVersionLast="47" xr6:coauthVersionMax="47" xr10:uidLastSave="{00000000-0000-0000-0000-000000000000}"/>
  <bookViews>
    <workbookView xWindow="0" yWindow="500" windowWidth="23260" windowHeight="1258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E121" i="9"/>
  <c r="K16" i="4"/>
  <c r="J16" i="4" s="1"/>
  <c r="M17" i="4"/>
  <c r="K46" i="4"/>
  <c r="M47" i="4"/>
  <c r="L85" i="9"/>
  <c r="C85" i="9"/>
  <c r="K78" i="4"/>
  <c r="K48" i="4"/>
  <c r="M49" i="4"/>
  <c r="K22" i="4"/>
  <c r="J22" i="4" s="1"/>
  <c r="M75" i="4"/>
  <c r="C63" i="9"/>
  <c r="L63" i="9"/>
  <c r="C65" i="9"/>
  <c r="L65" i="9"/>
  <c r="C13" i="6"/>
  <c r="C10" i="6"/>
  <c r="K40" i="9"/>
  <c r="L41" i="9"/>
  <c r="L43" i="9"/>
  <c r="L46" i="9" s="1"/>
  <c r="K45" i="9"/>
  <c r="B43" i="9" s="1"/>
  <c r="M13" i="4"/>
  <c r="K12" i="4"/>
  <c r="J12" i="4" s="1"/>
  <c r="C11" i="6"/>
  <c r="I19" i="4" l="1"/>
  <c r="D71" i="9" s="1"/>
  <c r="E71" i="9" s="1"/>
  <c r="L95" i="9"/>
  <c r="E95" i="9"/>
  <c r="D95" i="9"/>
  <c r="J95" i="9" s="1"/>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D70" i="9" s="1"/>
  <c r="E70" i="9"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F70" i="9"/>
  <c r="L70" i="9"/>
  <c r="M70" i="9" s="1"/>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D66" i="9" l="1"/>
  <c r="J68"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G114" i="9"/>
  <c r="G111" i="9"/>
  <c r="G104" i="9"/>
  <c r="G99" i="9"/>
  <c r="G126" i="9"/>
  <c r="G63" i="9"/>
  <c r="I63" i="9" s="1"/>
  <c r="G110" i="9"/>
  <c r="G102" i="9"/>
  <c r="G127" i="9"/>
  <c r="G62" i="9"/>
  <c r="G69" i="9"/>
  <c r="I69" i="9" s="1"/>
  <c r="G73" i="9"/>
  <c r="I73" i="9" s="1"/>
  <c r="G124" i="9"/>
  <c r="G67" i="9"/>
  <c r="I67" i="9" s="1"/>
  <c r="G86" i="9"/>
  <c r="I86" i="9" s="1"/>
  <c r="G84" i="9"/>
  <c r="I84" i="9" s="1"/>
  <c r="G70" i="9"/>
  <c r="I70" i="9" s="1"/>
  <c r="G72" i="9" l="1"/>
  <c r="I72" i="9" s="1"/>
  <c r="I62" i="9"/>
  <c r="G78" i="9"/>
  <c r="I78" i="9" s="1"/>
  <c r="I61" i="9"/>
  <c r="G92" i="9"/>
  <c r="I92"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0" i="9"/>
  <c r="D10" i="9" s="1"/>
  <c r="E12" i="9" l="1"/>
  <c r="D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<sst xmlns="http://schemas.openxmlformats.org/spreadsheetml/2006/main" count="4159" uniqueCount="1877">
  <si>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</si>
  <si>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</si>
  <si>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</si>
  <si>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</si>
  <si>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</si>
  <si>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</si>
  <si>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</si>
  <si>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</si>
  <si>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</si>
  <si>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</si>
  <si>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</si>
  <si>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</si>
  <si>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</si>
  <si>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</si>
  <si>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</si>
  <si>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</si>
  <si>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</si>
  <si>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</si>
  <si>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</si>
  <si>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</si>
  <si>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</si>
  <si>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</si>
  <si>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</si>
  <si>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</si>
  <si>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</si>
  <si>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</si>
  <si>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</si>
  <si>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</si>
  <si>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</si>
  <si>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</si>
  <si>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</si>
  <si>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</si>
  <si>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</si>
  <si>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</si>
  <si>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</si>
  <si>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</si>
  <si>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</si>
  <si>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</si>
  <si>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</si>
  <si>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</si>
  <si>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</si>
  <si>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</si>
  <si>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</si>
  <si>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</si>
  <si>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</si>
  <si>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</si>
  <si>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</si>
  <si>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</si>
  <si>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</si>
  <si>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</si>
  <si>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</si>
  <si>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</si>
  <si>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</si>
  <si>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</si>
  <si>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</si>
  <si>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</si>
  <si>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</si>
  <si>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</si>
  <si>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</si>
  <si>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</si>
  <si>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</si>
  <si>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</si>
  <si>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</si>
  <si>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</si>
  <si>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</si>
  <si>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</si>
  <si>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</si>
  <si>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</si>
  <si>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</si>
  <si>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</si>
  <si>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</si>
  <si>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</si>
  <si>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</si>
  <si>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</si>
  <si>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</si>
  <si>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</si>
  <si>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</si>
  <si>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</si>
  <si>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</si>
  <si>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</si>
  <si>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</si>
  <si>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</si>
  <si>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</si>
  <si>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</si>
  <si>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</si>
  <si>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</si>
  <si>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</si>
  <si>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</si>
  <si>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</si>
  <si>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</si>
  <si>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</si>
  <si>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</si>
  <si>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</si>
  <si>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</si>
  <si>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</si>
  <si>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</si>
  <si>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</si>
  <si>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</si>
  <si>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</si>
  <si>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</si>
  <si>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</si>
  <si>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</si>
  <si>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</si>
  <si>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</si>
  <si>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</si>
  <si>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</si>
  <si>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</si>
  <si>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</si>
  <si>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</si>
  <si>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</si>
  <si>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</si>
  <si>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</si>
  <si>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</si>
  <si>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</si>
  <si>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</si>
  <si>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</si>
  <si>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</si>
  <si>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</si>
  <si>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</si>
  <si>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</si>
  <si>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</si>
  <si>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</si>
  <si>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</si>
  <si>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</si>
  <si>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</si>
  <si>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</si>
  <si>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</si>
  <si>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</si>
  <si>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</si>
  <si>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</si>
  <si>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</si>
  <si>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</si>
  <si>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</si>
  <si>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</si>
  <si>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</si>
  <si>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</si>
  <si>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</si>
  <si>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</si>
  <si>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</si>
  <si>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</si>
  <si>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</si>
  <si>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</si>
  <si>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</si>
  <si>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</si>
  <si>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</si>
  <si>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</si>
  <si>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</si>
  <si>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</si>
  <si>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</si>
  <si>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</si>
  <si>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</si>
  <si>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</si>
  <si>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</si>
  <si>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</si>
  <si>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</si>
  <si>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</si>
  <si>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</si>
  <si>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</si>
  <si>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</si>
  <si>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</si>
  <si>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</si>
  <si>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</si>
  <si>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</si>
  <si>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</si>
  <si>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</si>
  <si>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</si>
  <si>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</si>
  <si>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</si>
  <si>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</si>
  <si>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</si>
  <si>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</si>
  <si>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</si>
  <si>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</si>
  <si>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</si>
  <si>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</si>
  <si>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</si>
  <si>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</si>
  <si>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</si>
  <si>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</si>
  <si>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</si>
  <si>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</si>
  <si>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</si>
  <si>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</si>
  <si>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</si>
  <si>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</si>
  <si>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</si>
  <si>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</si>
  <si>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</si>
  <si>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</si>
  <si>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</si>
  <si>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</si>
  <si>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</si>
  <si>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</si>
  <si>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</si>
  <si>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</si>
  <si>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</si>
  <si>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</si>
  <si>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</si>
  <si>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</si>
  <si>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</si>
  <si>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</si>
  <si>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</si>
  <si>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</si>
  <si>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</si>
  <si>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</si>
  <si>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</si>
  <si>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</si>
  <si>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</si>
  <si>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</si>
  <si>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</si>
  <si>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</si>
  <si>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</si>
  <si>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</si>
  <si>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</si>
  <si>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</si>
  <si>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</si>
  <si>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</si>
  <si>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</si>
  <si>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</si>
  <si>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</si>
  <si>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</si>
  <si>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</si>
  <si>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</si>
  <si>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</si>
  <si>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</si>
  <si>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</si>
  <si>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</si>
  <si>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</si>
  <si>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</si>
  <si>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</si>
  <si>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</si>
  <si>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</si>
  <si>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</si>
  <si>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</si>
  <si>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</si>
  <si>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</si>
  <si>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</si>
  <si>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</si>
  <si>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</si>
  <si>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</si>
  <si>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</si>
  <si>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</si>
  <si>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</si>
  <si>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</si>
  <si>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</si>
  <si>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</si>
  <si>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</si>
  <si>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</si>
  <si>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</si>
  <si>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</si>
  <si>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</si>
  <si>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</si>
  <si>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</si>
  <si>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</si>
  <si>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</si>
  <si>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</si>
  <si>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</si>
  <si>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</si>
  <si>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</si>
  <si>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</si>
  <si>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</si>
  <si>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</si>
  <si>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</si>
  <si>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</si>
  <si>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</si>
  <si>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</si>
  <si>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</si>
  <si>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</si>
  <si>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</si>
  <si>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</si>
  <si>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</si>
  <si>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</si>
  <si>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</si>
  <si>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</si>
  <si>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</si>
  <si>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</si>
  <si>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</si>
  <si>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</si>
  <si>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</si>
  <si>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</si>
  <si>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</si>
  <si>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</si>
  <si>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</si>
  <si>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</si>
  <si>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</si>
  <si>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</si>
  <si>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</si>
  <si>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</si>
  <si>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</si>
  <si>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</si>
  <si>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</si>
  <si>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</si>
  <si>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</si>
  <si>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</si>
  <si>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</si>
  <si>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</si>
  <si>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</si>
  <si>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</si>
  <si>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</si>
  <si>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</si>
  <si>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</si>
  <si>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</si>
  <si>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</si>
  <si>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</si>
  <si>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</si>
  <si>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</si>
  <si>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</si>
  <si>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</si>
  <si>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</si>
  <si>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</si>
  <si>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</si>
  <si>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</si>
  <si>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</si>
  <si>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</si>
  <si>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</si>
  <si>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</si>
  <si>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</si>
  <si>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</si>
  <si>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</si>
  <si>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</si>
  <si>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</si>
  <si>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</si>
  <si>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</si>
  <si>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</si>
  <si>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</si>
  <si>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</si>
  <si>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</si>
  <si>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</si>
  <si>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</si>
  <si>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</si>
  <si>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</si>
  <si>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</si>
  <si>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</si>
  <si>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</si>
  <si>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</si>
  <si>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</si>
  <si>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</si>
  <si>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</si>
  <si>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</si>
  <si>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</si>
  <si>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</si>
  <si>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</si>
  <si>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</si>
  <si>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</si>
  <si>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</si>
  <si>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</si>
  <si>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</si>
  <si>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</si>
  <si>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</si>
  <si>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</si>
  <si>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</si>
  <si>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</si>
  <si>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</si>
  <si>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</si>
  <si>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</si>
  <si>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</si>
  <si>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</si>
  <si>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</si>
  <si>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</si>
  <si>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</si>
  <si>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</si>
  <si>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</si>
  <si>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</si>
  <si>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</si>
  <si>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</si>
  <si>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</si>
  <si>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</si>
  <si>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</si>
  <si>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</si>
  <si>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</si>
  <si>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</si>
  <si>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</si>
  <si>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</si>
  <si>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</si>
  <si>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</si>
  <si>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</si>
  <si>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</si>
  <si>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</si>
  <si>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</si>
  <si>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</si>
  <si>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</si>
  <si>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</si>
  <si>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</si>
  <si>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</si>
  <si>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</si>
  <si>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</si>
  <si>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</si>
  <si>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</si>
  <si>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</si>
  <si>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</si>
  <si>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</si>
  <si>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</si>
  <si>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</si>
  <si>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</si>
  <si>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</si>
  <si>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</si>
  <si>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</si>
  <si>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</si>
  <si>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</si>
  <si>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</si>
  <si>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</si>
  <si>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</si>
  <si>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</si>
  <si>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</si>
  <si>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</si>
  <si>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</si>
  <si>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</si>
  <si>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</si>
  <si>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</si>
  <si>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</si>
  <si>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</si>
  <si>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</si>
  <si>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</si>
  <si>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</si>
  <si>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</si>
  <si>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</si>
  <si>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</si>
  <si>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</si>
  <si>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</si>
  <si>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</si>
  <si>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</si>
  <si>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</si>
  <si>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</si>
  <si>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</si>
  <si>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</si>
  <si>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</si>
  <si>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</si>
  <si>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</si>
  <si>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</si>
  <si>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</si>
  <si>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</si>
  <si>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</si>
  <si>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</si>
  <si>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</si>
  <si>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</si>
  <si>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</si>
  <si>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</si>
  <si>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</si>
  <si>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</si>
  <si>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</si>
  <si>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</si>
  <si>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</si>
  <si>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</si>
  <si>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</si>
  <si>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</si>
  <si>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</si>
  <si>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</si>
  <si>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</si>
  <si>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</si>
  <si>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</si>
  <si>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</si>
  <si>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</si>
  <si>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</si>
  <si>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</si>
  <si>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</si>
  <si>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</si>
  <si>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</si>
  <si>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</si>
  <si>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</si>
  <si>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</si>
  <si>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</si>
  <si>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</si>
  <si>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</si>
  <si>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</si>
  <si>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</si>
  <si>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</si>
  <si>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</si>
  <si>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</si>
  <si>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</si>
  <si>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</si>
  <si>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</si>
  <si>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</si>
  <si>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</si>
  <si>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</si>
  <si>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</si>
  <si>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</si>
  <si>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</si>
  <si>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</si>
  <si>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</si>
  <si>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</si>
  <si>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</si>
  <si>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</si>
  <si>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</si>
  <si>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</si>
  <si>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</si>
  <si>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</si>
  <si>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</si>
  <si>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</si>
  <si>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</si>
  <si>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</si>
  <si>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</si>
  <si>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</si>
  <si>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</si>
  <si>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</si>
  <si>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</si>
  <si>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</si>
  <si>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</si>
  <si>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</si>
  <si>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</si>
  <si>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</si>
  <si>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</si>
  <si>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</si>
  <si>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</si>
  <si>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</si>
  <si>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</si>
  <si>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</si>
  <si>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</si>
  <si>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</si>
  <si>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</si>
  <si>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</si>
  <si>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</si>
  <si>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</si>
  <si>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</si>
  <si>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</si>
  <si>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</si>
  <si>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</si>
  <si>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</si>
  <si>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</si>
  <si>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</si>
  <si>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</si>
  <si>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</si>
  <si>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</si>
  <si>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</si>
  <si>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</si>
  <si>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</si>
  <si>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</si>
  <si>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</si>
  <si>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</si>
  <si>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</si>
  <si>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</si>
  <si>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</si>
  <si>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</si>
  <si>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</si>
  <si>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</si>
  <si>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</si>
  <si>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</si>
  <si>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</si>
  <si>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</si>
  <si>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</si>
  <si>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</si>
  <si>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</si>
  <si>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</si>
  <si>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</si>
  <si>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</si>
  <si>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</si>
  <si>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</si>
  <si>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</si>
  <si>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</si>
  <si>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</si>
  <si>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</si>
  <si>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</si>
  <si>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</si>
  <si>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</si>
  <si>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</si>
  <si>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</si>
  <si>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</si>
  <si>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</si>
  <si>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</si>
  <si>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</si>
  <si>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</si>
  <si>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</si>
  <si>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</si>
  <si>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</si>
  <si>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</si>
  <si>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</si>
  <si>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</si>
  <si>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</si>
  <si>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</si>
  <si>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</si>
  <si>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</si>
  <si>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</si>
  <si>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</si>
  <si>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</si>
  <si>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</si>
  <si>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</si>
  <si>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</si>
  <si>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</si>
  <si>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</si>
  <si>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</si>
  <si>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</si>
  <si>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</si>
  <si>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</si>
  <si>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</si>
  <si>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</si>
  <si>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</si>
  <si>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</si>
  <si>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</si>
  <si>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</si>
  <si>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</si>
  <si>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</si>
  <si>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</si>
  <si>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</si>
  <si>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</si>
  <si>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</si>
  <si>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</si>
  <si>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</si>
  <si>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</si>
  <si>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</si>
  <si>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</si>
  <si>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</si>
  <si>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</si>
  <si>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</si>
  <si>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</si>
  <si>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</si>
  <si>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</si>
  <si>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</si>
  <si>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</si>
  <si>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</si>
  <si>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</si>
  <si>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</si>
  <si>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</si>
  <si>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</si>
  <si>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</si>
  <si>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</si>
  <si>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</si>
  <si>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</si>
  <si>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</si>
  <si>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</si>
  <si>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</si>
  <si>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</si>
  <si>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</si>
  <si>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</si>
  <si>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</si>
  <si>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</si>
  <si>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</si>
  <si>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</si>
  <si>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</si>
  <si>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</si>
  <si>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</si>
  <si>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</si>
  <si>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</si>
  <si>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</si>
  <si>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</si>
  <si>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</si>
  <si>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</si>
  <si>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</si>
  <si>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</si>
  <si>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</si>
  <si>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</si>
  <si>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</si>
  <si>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</si>
  <si>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</si>
  <si>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</si>
  <si>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</si>
  <si>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</si>
  <si>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</si>
  <si>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</si>
  <si>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</si>
  <si>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</si>
  <si>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</si>
  <si>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</si>
  <si>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</si>
  <si>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</si>
  <si>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</si>
  <si>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</si>
  <si>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</si>
  <si>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</si>
  <si>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</si>
  <si>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</si>
  <si>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</si>
  <si>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</si>
  <si>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</si>
  <si>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</si>
  <si>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</si>
  <si>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</si>
  <si>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</si>
  <si>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</si>
  <si>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</si>
  <si>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</si>
  <si>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</si>
  <si>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</si>
  <si>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</si>
  <si>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</si>
  <si>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</si>
  <si>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</si>
  <si>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</si>
  <si>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</si>
  <si>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</si>
  <si>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</si>
  <si>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</si>
  <si>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</si>
  <si>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</si>
  <si>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</si>
  <si>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</si>
  <si>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</si>
  <si>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</si>
  <si>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</si>
  <si>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</si>
  <si>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</si>
  <si>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</si>
  <si>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</si>
  <si>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</si>
  <si>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</si>
  <si>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</si>
  <si>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</si>
  <si>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</si>
  <si>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</si>
  <si>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</si>
  <si>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</si>
  <si>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</si>
  <si>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</si>
  <si>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</si>
  <si>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</si>
  <si>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</si>
  <si>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</si>
  <si>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</si>
  <si>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</si>
  <si>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</si>
  <si>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</si>
  <si>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</si>
  <si>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</si>
  <si>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</si>
  <si>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</si>
  <si>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</si>
  <si>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</si>
  <si>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</si>
  <si>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</si>
  <si>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</si>
  <si>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</si>
  <si>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</si>
  <si>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</si>
  <si>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</si>
  <si>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</si>
  <si>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</si>
  <si>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</si>
  <si>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</si>
  <si>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</si>
  <si>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</si>
  <si>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</si>
  <si>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</si>
  <si>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</si>
  <si>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</si>
  <si>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</si>
  <si>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</si>
  <si>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</si>
  <si>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</si>
  <si>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</si>
  <si>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</si>
  <si>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</si>
  <si>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</si>
  <si>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</si>
  <si>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</si>
  <si>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</si>
  <si>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</si>
  <si>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</si>
  <si>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</si>
  <si>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</si>
  <si>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</si>
  <si>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</si>
  <si>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</si>
  <si>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</si>
  <si>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</si>
  <si>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</si>
  <si>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</si>
  <si>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</si>
  <si>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</si>
  <si>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</si>
  <si>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</si>
  <si>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</si>
  <si>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</si>
  <si>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</si>
  <si>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</si>
  <si>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</si>
  <si>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</si>
  <si>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</si>
  <si>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</si>
  <si>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</si>
  <si>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</si>
  <si>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</si>
  <si>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</si>
  <si>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</si>
  <si>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</si>
  <si>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</si>
  <si>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</si>
  <si>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</si>
  <si>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</si>
  <si>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</si>
  <si>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</si>
  <si>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</si>
  <si>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</si>
  <si>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</si>
  <si>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</si>
  <si>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</si>
  <si>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</si>
  <si>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</si>
  <si>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</si>
  <si>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</si>
  <si>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</si>
  <si>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</si>
  <si>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</si>
  <si>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</si>
  <si>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</si>
  <si>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</si>
  <si>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</si>
  <si>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</si>
  <si>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</si>
  <si>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</si>
  <si>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</si>
  <si>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</si>
  <si>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</si>
  <si>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</si>
  <si>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</si>
  <si>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</si>
  <si>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</si>
  <si>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</si>
  <si>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</si>
  <si>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</si>
  <si>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</si>
  <si>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</si>
  <si>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</si>
  <si>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</si>
  <si>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</si>
  <si>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</si>
  <si>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</si>
  <si>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</si>
  <si>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</si>
  <si>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</si>
  <si>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</si>
  <si>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</si>
  <si>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</si>
  <si>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</si>
  <si>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</si>
  <si>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</si>
  <si>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</si>
  <si>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</si>
  <si>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</si>
  <si>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</si>
  <si>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</si>
  <si>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</si>
  <si>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</si>
  <si>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</si>
  <si>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</si>
  <si>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</si>
  <si>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</si>
  <si>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</si>
  <si>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</si>
  <si>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</si>
  <si>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</si>
  <si>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</si>
  <si>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</si>
  <si>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</si>
  <si>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</si>
  <si>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</si>
  <si>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</si>
  <si>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</si>
  <si>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</si>
  <si>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</si>
  <si>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</si>
  <si>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</si>
  <si>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</si>
  <si>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</si>
  <si>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</si>
  <si>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</si>
  <si>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</si>
  <si>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</si>
  <si>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</si>
  <si>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</si>
  <si>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</si>
  <si>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</si>
  <si>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</si>
  <si>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</si>
  <si>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</si>
  <si>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</si>
  <si>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</si>
  <si>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</si>
  <si>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</si>
  <si>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</si>
  <si>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</si>
  <si>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</si>
  <si>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</si>
  <si>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</si>
  <si>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</si>
  <si>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</si>
  <si>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</si>
  <si>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</si>
  <si>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</si>
  <si>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</si>
  <si>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</si>
  <si>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</si>
  <si>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</si>
  <si>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</si>
  <si>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</si>
  <si>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</si>
  <si>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</si>
  <si>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</si>
  <si>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</si>
  <si>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</si>
  <si>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</si>
  <si>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</si>
  <si>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</si>
  <si>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</si>
  <si>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</si>
  <si>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</si>
  <si>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</si>
  <si>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</si>
  <si>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</si>
  <si>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</si>
  <si>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</si>
  <si>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</si>
  <si>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</si>
  <si>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</si>
  <si>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</si>
  <si>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</si>
  <si>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</si>
  <si>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</si>
  <si>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</si>
  <si>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</si>
  <si>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</si>
  <si>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</si>
  <si>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</si>
  <si>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</si>
  <si>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</si>
  <si>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</si>
  <si>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</si>
  <si>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</si>
  <si>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</si>
  <si>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</si>
  <si>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</si>
  <si>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</si>
  <si>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</si>
  <si>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</si>
  <si>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</si>
  <si>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</si>
  <si>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</si>
  <si>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</si>
  <si>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</si>
  <si>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</si>
  <si>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</si>
  <si>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</si>
  <si>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</si>
  <si>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</si>
  <si>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</si>
  <si>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</si>
  <si>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</si>
  <si>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</si>
  <si>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</si>
  <si>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</si>
  <si>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</si>
  <si>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</si>
  <si>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</si>
  <si>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</si>
  <si>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</si>
  <si>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</si>
  <si>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</si>
  <si>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</si>
  <si>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</si>
  <si>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</si>
  <si>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</si>
  <si>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</si>
  <si>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</si>
  <si>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</si>
  <si>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</si>
  <si>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</si>
  <si>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</si>
  <si>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</si>
  <si>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</si>
  <si>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</si>
  <si>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</si>
  <si>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</si>
  <si>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</si>
  <si>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</si>
  <si>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</si>
  <si>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</si>
  <si>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</si>
  <si>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</si>
  <si>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</si>
  <si>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</si>
  <si>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</si>
  <si>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</si>
  <si>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</si>
  <si>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</si>
  <si>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</si>
  <si>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</si>
  <si>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</si>
  <si>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</si>
  <si>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</si>
  <si>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</si>
  <si>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</si>
  <si>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</si>
  <si>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</si>
  <si>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</si>
  <si>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</si>
  <si>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</si>
  <si>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</si>
  <si>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</si>
  <si>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</si>
  <si>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</si>
  <si>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</si>
  <si>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</si>
  <si>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</si>
  <si>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</si>
  <si>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</si>
  <si>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</si>
  <si>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</si>
  <si>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</si>
  <si>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</si>
  <si>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</si>
  <si>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</si>
  <si>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</si>
  <si>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</si>
  <si>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</si>
  <si>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</si>
  <si>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</si>
  <si>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</si>
  <si>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</si>
  <si>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</si>
  <si>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</si>
  <si>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</si>
  <si>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</si>
  <si>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</si>
  <si>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</si>
  <si>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</si>
  <si>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</si>
  <si>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</si>
  <si>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</si>
  <si>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</si>
  <si>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</si>
  <si>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</si>
  <si>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</si>
  <si>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</si>
  <si>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</si>
  <si>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</si>
  <si>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</si>
  <si>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</si>
  <si>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</si>
  <si>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</si>
  <si>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</si>
  <si>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</si>
  <si>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</si>
  <si>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</si>
  <si>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</si>
  <si>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</si>
  <si>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</si>
  <si>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</si>
  <si>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</si>
  <si>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</si>
  <si>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</si>
  <si>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</si>
  <si>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</si>
  <si>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</si>
  <si>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</si>
  <si>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</si>
  <si>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</si>
  <si>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</si>
  <si>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</si>
  <si>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</si>
  <si>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</si>
  <si>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</si>
  <si>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</si>
  <si>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</si>
  <si>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</si>
  <si>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</si>
  <si>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</si>
  <si>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</si>
  <si>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</si>
  <si>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</si>
  <si>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</si>
  <si>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</si>
  <si>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</si>
  <si>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</si>
  <si>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</si>
  <si>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</si>
  <si>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</si>
  <si>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</si>
  <si>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</si>
  <si>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</si>
  <si>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</si>
  <si>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</si>
  <si>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</si>
  <si>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</si>
  <si>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</si>
  <si>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</si>
  <si>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</si>
  <si>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</si>
  <si>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</si>
  <si>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</si>
  <si>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</si>
  <si>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</si>
  <si>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</si>
  <si>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</si>
  <si>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</si>
  <si>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</si>
  <si>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</si>
  <si>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</si>
  <si>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</si>
  <si>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</si>
  <si>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</si>
  <si>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</si>
  <si>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</si>
  <si>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</si>
  <si>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</si>
  <si>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</si>
  <si>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</si>
  <si>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</si>
  <si>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</si>
  <si>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</si>
  <si>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</si>
  <si>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</si>
  <si>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</si>
  <si>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</si>
  <si>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</si>
  <si>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</si>
  <si>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</si>
  <si>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</si>
  <si>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</si>
  <si>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</si>
  <si>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</si>
  <si>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</si>
  <si>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</si>
  <si>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</si>
  <si>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</si>
  <si>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</si>
  <si>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</si>
  <si>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</si>
  <si>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</si>
  <si>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</si>
  <si>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</si>
  <si>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</si>
  <si>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</si>
  <si>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</si>
  <si>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</si>
  <si>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</si>
  <si>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</si>
  <si>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</si>
  <si>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</si>
  <si>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</si>
  <si>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</si>
  <si>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</si>
  <si>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</si>
  <si>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</si>
  <si>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</si>
  <si>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</si>
  <si>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</si>
  <si>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</si>
  <si>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</si>
  <si>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</si>
  <si>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</si>
  <si>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</si>
  <si>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</si>
  <si>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</si>
  <si>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</si>
  <si>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</si>
  <si>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</si>
  <si>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</si>
  <si>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</si>
  <si>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</si>
  <si>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</si>
  <si>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</si>
  <si>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</si>
  <si>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</si>
  <si>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</si>
  <si>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</si>
  <si>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</si>
  <si>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</si>
  <si>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</si>
  <si>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</si>
  <si>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</si>
  <si>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</si>
  <si>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</si>
  <si>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</si>
  <si>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</si>
  <si>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</si>
  <si>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</si>
  <si>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</si>
  <si>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</si>
  <si>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</si>
  <si>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</si>
  <si>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</si>
  <si>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</si>
  <si>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</si>
  <si>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</si>
  <si>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</si>
  <si>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</si>
  <si>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</si>
  <si>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</si>
  <si>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</si>
  <si>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</si>
  <si>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</si>
  <si>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</si>
  <si>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</si>
  <si>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</si>
  <si>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</si>
  <si>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</si>
  <si>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</si>
  <si>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</si>
  <si>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</si>
  <si>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</si>
  <si>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</si>
  <si>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</si>
  <si>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</si>
  <si>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</si>
  <si>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</si>
  <si>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</si>
  <si>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</si>
  <si>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</si>
  <si>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</si>
  <si>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</si>
  <si>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</si>
  <si>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</si>
  <si>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</si>
  <si>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</si>
  <si>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</si>
  <si>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</si>
  <si>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</si>
  <si>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</si>
  <si>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</si>
  <si>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</si>
  <si>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</si>
  <si>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</si>
  <si>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</si>
  <si>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</si>
  <si>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</si>
  <si>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</si>
  <si>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</si>
  <si>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</si>
  <si>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</si>
  <si>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</si>
  <si>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</si>
  <si>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</si>
  <si>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</si>
  <si>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</si>
  <si>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</si>
  <si>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</si>
  <si>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</si>
  <si>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</si>
  <si>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</si>
  <si>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</si>
  <si>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</si>
  <si>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</si>
  <si>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</si>
  <si>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</si>
  <si>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</si>
  <si>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</si>
  <si>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</si>
  <si>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</si>
  <si>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</si>
  <si>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</si>
  <si>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</si>
  <si>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</si>
  <si>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</si>
  <si>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</si>
  <si>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</si>
  <si>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</si>
  <si>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</si>
  <si>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</si>
  <si>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</si>
  <si>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</si>
  <si>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</si>
  <si>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</si>
  <si>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</si>
  <si>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</si>
  <si>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</si>
  <si>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</si>
  <si>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</si>
  <si>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</si>
  <si>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</si>
  <si>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</si>
  <si>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</si>
  <si>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</si>
  <si>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</si>
  <si>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</si>
  <si>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</si>
  <si>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</si>
  <si>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</si>
  <si>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</si>
  <si>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</si>
  <si>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</si>
  <si>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</si>
  <si>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</si>
  <si>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</si>
  <si>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</si>
  <si>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</si>
  <si>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</si>
  <si>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</si>
  <si>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</si>
  <si>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</si>
  <si>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</si>
  <si>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</si>
  <si>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</si>
  <si>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</si>
  <si>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</si>
  <si>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</si>
  <si>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</si>
  <si>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</si>
  <si>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</si>
  <si>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</si>
  <si>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</si>
  <si>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</si>
  <si>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</si>
  <si>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</si>
  <si>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</si>
  <si>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</si>
  <si>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</si>
  <si>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</si>
  <si>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</si>
  <si>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</si>
  <si>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</si>
  <si>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</si>
  <si>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</si>
  <si>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</si>
  <si>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</si>
  <si>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</si>
  <si>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</si>
  <si>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</si>
  <si>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</si>
  <si>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</si>
  <si>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</si>
  <si>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</si>
  <si>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</si>
  <si>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</si>
  <si>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</si>
  <si>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</si>
  <si>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</si>
  <si>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</si>
  <si>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</si>
  <si>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</si>
  <si>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</si>
  <si>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</si>
  <si>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</si>
  <si>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</si>
  <si>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</si>
  <si>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</si>
  <si>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</si>
  <si>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</si>
  <si>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</si>
  <si>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</si>
  <si>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</si>
  <si>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</si>
  <si>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</si>
  <si>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</si>
  <si>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</si>
  <si>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</si>
  <si>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</si>
  <si>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</si>
  <si>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</si>
  <si>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</si>
  <si>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</si>
  <si>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</si>
  <si>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</si>
  <si>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</si>
  <si>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</si>
  <si>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</si>
  <si>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</si>
  <si>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</si>
  <si>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</si>
  <si>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</si>
  <si>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</si>
  <si>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</si>
  <si>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</si>
  <si>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</si>
  <si>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</si>
  <si>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</si>
  <si>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</si>
  <si>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</si>
  <si>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</si>
  <si>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</si>
  <si>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</si>
  <si>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</si>
  <si>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</si>
  <si>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</si>
  <si>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</si>
  <si>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</si>
  <si>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</si>
  <si>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</si>
  <si>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</si>
  <si>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</si>
  <si>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</si>
  <si>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</si>
  <si>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</si>
  <si>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</si>
  <si>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</si>
  <si>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</si>
  <si>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</si>
  <si>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</si>
  <si>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</si>
  <si>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</si>
  <si>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</si>
  <si>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</si>
  <si>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</si>
  <si>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</si>
  <si>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</si>
  <si>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</si>
  <si>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</si>
  <si>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</si>
  <si>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</si>
  <si>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</si>
  <si>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</si>
  <si>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</si>
  <si>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</si>
  <si>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</si>
  <si>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</si>
  <si>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</si>
  <si>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</si>
  <si>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</si>
  <si>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</si>
  <si>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</si>
  <si>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</si>
  <si>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</si>
  <si>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</si>
  <si>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</si>
  <si>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</si>
  <si>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</si>
  <si>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</si>
  <si>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</si>
  <si>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</si>
  <si>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</si>
  <si>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</si>
  <si>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</si>
  <si>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</si>
  <si>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</si>
  <si>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</si>
  <si>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</si>
  <si>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</si>
  <si>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</si>
  <si>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</si>
  <si>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</si>
  <si>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</si>
  <si>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</si>
  <si>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</si>
  <si>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</si>
  <si>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</si>
  <si>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</si>
  <si>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</si>
  <si>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</si>
  <si>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</si>
  <si>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</si>
  <si>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</si>
  <si>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</si>
  <si>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</si>
  <si>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</si>
  <si>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</si>
  <si>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</si>
  <si>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</si>
  <si>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</si>
  <si>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</si>
  <si>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</si>
  <si>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</si>
  <si>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</si>
  <si>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</si>
  <si>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</si>
  <si>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</si>
  <si>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</si>
  <si>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</si>
  <si>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</si>
  <si>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</si>
  <si>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</si>
  <si>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</si>
  <si>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</si>
  <si>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</si>
  <si>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</si>
  <si>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</si>
  <si>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</si>
  <si>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</si>
  <si>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</si>
  <si>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</si>
  <si>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</si>
  <si>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</si>
  <si>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</si>
  <si>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</si>
  <si>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</si>
  <si>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</si>
  <si>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</si>
  <si>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</si>
  <si>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</si>
  <si>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</si>
  <si>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</si>
  <si>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</si>
  <si>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</si>
  <si>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</si>
  <si>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</si>
  <si>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</si>
  <si>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</si>
  <si>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</si>
  <si>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</si>
  <si>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</si>
  <si>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</si>
  <si>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</si>
  <si>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</si>
  <si>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</si>
  <si>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</si>
  <si>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</si>
  <si>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</si>
  <si>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</si>
  <si>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</si>
  <si>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</si>
  <si>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</si>
  <si>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</si>
  <si>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</si>
  <si>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</si>
  <si>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</si>
  <si>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</si>
  <si>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</si>
  <si>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</si>
  <si>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</si>
  <si>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</si>
  <si>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</si>
  <si>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</si>
  <si>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</si>
  <si>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</si>
  <si>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</si>
  <si>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</si>
  <si>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</si>
  <si>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</si>
  <si>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</si>
  <si>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</si>
  <si>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</si>
  <si>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</si>
  <si>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</si>
  <si>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</si>
  <si>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</si>
  <si>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</si>
  <si>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</si>
  <si>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</si>
  <si>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</si>
  <si>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</si>
  <si>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</si>
  <si>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</si>
  <si>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</si>
  <si>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</si>
  <si>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</si>
  <si>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</si>
  <si>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</si>
  <si>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</si>
  <si>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</si>
  <si>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</si>
  <si>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</si>
  <si>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</si>
  <si>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</si>
  <si>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</si>
  <si>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</si>
  <si>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</si>
  <si>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</si>
  <si>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</si>
  <si>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</si>
  <si>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</si>
  <si>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</si>
  <si>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</si>
  <si>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</si>
  <si>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</si>
  <si>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</si>
  <si>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</si>
  <si>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</si>
  <si>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</si>
  <si>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</si>
  <si>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</si>
  <si>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</si>
  <si>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</si>
  <si>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</si>
  <si>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</si>
  <si>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</si>
  <si>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</si>
  <si>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</si>
  <si>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</si>
  <si>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</si>
  <si>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</si>
  <si>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</si>
  <si>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</si>
  <si>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</si>
  <si>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</si>
  <si>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</si>
  <si>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</si>
  <si>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</si>
  <si>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</si>
  <si>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</si>
  <si>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</si>
  <si>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</si>
  <si>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</si>
  <si>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</si>
  <si>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</si>
  <si>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</si>
  <si>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</si>
  <si>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</si>
  <si>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</si>
  <si>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</si>
  <si>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</si>
  <si>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</si>
  <si>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</si>
  <si>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</si>
  <si>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</si>
  <si>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</si>
  <si>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</si>
  <si>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</si>
  <si>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</si>
  <si>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</si>
  <si>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</si>
  <si>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</si>
  <si>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</si>
  <si>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</si>
  <si>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</si>
  <si>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</si>
  <si>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</si>
  <si>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</si>
  <si>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</si>
  <si>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</si>
  <si>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</si>
  <si>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</si>
  <si>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</si>
  <si>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</si>
  <si>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</si>
  <si>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</si>
  <si>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</si>
  <si>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</si>
  <si>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</si>
  <si>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</si>
  <si>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</si>
  <si>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</si>
  <si>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</si>
  <si>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</si>
  <si>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</si>
  <si>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</si>
  <si>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</si>
  <si>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</si>
  <si>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</si>
  <si>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</si>
  <si>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</si>
  <si>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</si>
  <si>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</si>
  <si>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</si>
  <si>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</si>
  <si>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</si>
  <si>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</si>
  <si>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</si>
  <si>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</si>
  <si>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</si>
  <si>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</si>
  <si>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</si>
  <si>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</si>
  <si>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</si>
  <si>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</si>
  <si>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</si>
  <si>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</si>
  <si>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</si>
  <si>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</si>
  <si>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</si>
  <si>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</si>
  <si>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</si>
  <si>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</si>
  <si>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</si>
  <si>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</si>
  <si>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</si>
  <si>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</si>
  <si>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</si>
  <si>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</si>
  <si>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</si>
  <si>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</si>
  <si>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</si>
  <si>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</si>
  <si>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</si>
  <si>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</si>
  <si>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</si>
  <si>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</si>
  <si>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</si>
  <si>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</si>
  <si>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</si>
  <si>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</si>
  <si>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</si>
  <si>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</si>
  <si>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</si>
  <si>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</si>
  <si>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</si>
  <si>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</si>
  <si>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</si>
  <si>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</si>
  <si>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</si>
  <si>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</si>
  <si>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</si>
  <si>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</si>
  <si>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</si>
  <si>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</si>
  <si>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</si>
  <si>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</si>
  <si>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</si>
  <si>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</si>
  <si>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</si>
  <si>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</si>
  <si>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</si>
  <si>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</si>
  <si>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</si>
  <si>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</si>
  <si>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</si>
  <si>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</si>
  <si>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</si>
  <si>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</si>
  <si>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</si>
  <si>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</si>
  <si>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</si>
  <si>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</si>
  <si>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</si>
  <si>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</si>
  <si>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</si>
  <si>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</si>
  <si>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</si>
  <si>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</si>
  <si>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</si>
  <si>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</si>
  <si>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</si>
  <si>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</si>
  <si>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</si>
  <si>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</si>
  <si>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</si>
  <si>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</si>
  <si>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</si>
  <si>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</si>
  <si>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</si>
  <si>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</si>
  <si>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</si>
  <si>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</si>
  <si>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</si>
  <si>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</si>
  <si>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</si>
  <si>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</si>
  <si>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</si>
  <si>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</si>
  <si>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</si>
  <si>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</si>
  <si>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</si>
  <si>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</si>
  <si>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</si>
  <si>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</si>
  <si>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</si>
  <si>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</si>
  <si>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</si>
  <si>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</si>
  <si>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</si>
  <si>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</si>
  <si>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</si>
  <si>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</si>
  <si>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</si>
  <si>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</si>
  <si>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</si>
  <si>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</si>
  <si>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</si>
  <si>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</si>
  <si>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</si>
  <si>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</si>
  <si>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</si>
  <si>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</si>
  <si>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</si>
  <si>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</si>
  <si>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</si>
  <si>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</si>
  <si>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</si>
  <si>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</si>
  <si>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</si>
  <si>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</si>
  <si>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</si>
  <si>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</si>
  <si>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</si>
  <si>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</si>
  <si>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</si>
  <si>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</si>
  <si>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</si>
  <si>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</si>
  <si>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30250009</t>
  </si>
  <si>
    <t>2025010978</t>
  </si>
  <si>
    <t>27.01.2025</t>
  </si>
  <si>
    <t>Seminár Ročné zúčtovanie r.2024 - legislatívne zmeny r.2025</t>
  </si>
  <si>
    <t>31369308</t>
  </si>
  <si>
    <t>RELIA, spoločnosť s ručením obmedzeným</t>
  </si>
  <si>
    <t>30250011</t>
  </si>
  <si>
    <t>445003004</t>
  </si>
  <si>
    <t>28.01.2025</t>
  </si>
  <si>
    <t>Stravné lístky pre zamestnancov 2/2025 100ks/6,30EUR</t>
  </si>
  <si>
    <t>52005551</t>
  </si>
  <si>
    <t>Ticket Service, s.r.o.</t>
  </si>
  <si>
    <t>poplatok za službu</t>
  </si>
  <si>
    <t>30250015</t>
  </si>
  <si>
    <t>25240005</t>
  </si>
  <si>
    <t>05.03.2025</t>
  </si>
  <si>
    <t>Prenájom kancelárií 1/2025</t>
  </si>
  <si>
    <t>35871814</t>
  </si>
  <si>
    <t>Slovenská paralympijská marketingová, s.r.o.</t>
  </si>
  <si>
    <t>30250016</t>
  </si>
  <si>
    <t>250100002</t>
  </si>
  <si>
    <t>Prenájom vozidla AA657NG za 1/2025</t>
  </si>
  <si>
    <t>35735287</t>
  </si>
  <si>
    <t>Triumf ducha, s.r.o.</t>
  </si>
  <si>
    <t>30250017</t>
  </si>
  <si>
    <t>125001</t>
  </si>
  <si>
    <t>Prenájom telocvične 1/2025, BA, basketbal na vozíku</t>
  </si>
  <si>
    <t>31768849</t>
  </si>
  <si>
    <t>Základná škola</t>
  </si>
  <si>
    <t>30250018</t>
  </si>
  <si>
    <t xml:space="preserve"> 250300068</t>
  </si>
  <si>
    <t>Športový materiál-lopty 720ks, stolný tenis</t>
  </si>
  <si>
    <t>26469791</t>
  </si>
  <si>
    <t>STEN marketing, s.r.o.</t>
  </si>
  <si>
    <t>30250019</t>
  </si>
  <si>
    <t>38720900</t>
  </si>
  <si>
    <t>Hovory za obdobie 04.2.-03.3.2025 0905788435, 0915888553, 0918940356</t>
  </si>
  <si>
    <t>35697270</t>
  </si>
  <si>
    <t>Orange Slovensko a.s.</t>
  </si>
  <si>
    <t>Hovory za obdobie 04.2.-03.3.2025 0905788435, 0915888553, 09</t>
  </si>
  <si>
    <t>30250020</t>
  </si>
  <si>
    <t>53015525</t>
  </si>
  <si>
    <t>Nájom nebytových priestorov pre rok 2025</t>
  </si>
  <si>
    <t>35686031</t>
  </si>
  <si>
    <t>United Industries a.s.</t>
  </si>
  <si>
    <t>30250021</t>
  </si>
  <si>
    <t>22025</t>
  </si>
  <si>
    <t>administratívne práce 1/2025</t>
  </si>
  <si>
    <t>40017702</t>
  </si>
  <si>
    <t>Mgr. Eva Bacigalová</t>
  </si>
  <si>
    <t>30250022</t>
  </si>
  <si>
    <t>2702352</t>
  </si>
  <si>
    <t>07.02.2025</t>
  </si>
  <si>
    <t>mailchimp 2/2025</t>
  </si>
  <si>
    <t>EU372008134</t>
  </si>
  <si>
    <t>Mailchimp - The Rocket Science Group, LLC</t>
  </si>
  <si>
    <t>30250023</t>
  </si>
  <si>
    <t>160</t>
  </si>
  <si>
    <t>Prenájom curlingovej haly, Bratislava, 44 hod, 1/2025</t>
  </si>
  <si>
    <t>36066257</t>
  </si>
  <si>
    <t>Ružinovský športový klub, príspevková organizácia</t>
  </si>
  <si>
    <t>30250025</t>
  </si>
  <si>
    <t>20250219</t>
  </si>
  <si>
    <t>Náhradné diely pre vozíky, parastolný tenis</t>
  </si>
  <si>
    <t>35890142</t>
  </si>
  <si>
    <t>Letmo SK, s.r.o.</t>
  </si>
  <si>
    <t>30250026</t>
  </si>
  <si>
    <t>2025001</t>
  </si>
  <si>
    <t>Trénerské služby, 01/2025, parastolný tenis</t>
  </si>
  <si>
    <t>Dušan Michalka</t>
  </si>
  <si>
    <t>30250027</t>
  </si>
  <si>
    <t>202558</t>
  </si>
  <si>
    <t>Členský poplatok World ParaVolley pre rok 2025</t>
  </si>
  <si>
    <t>World ParaVolley</t>
  </si>
  <si>
    <t>30250028</t>
  </si>
  <si>
    <t>40250021</t>
  </si>
  <si>
    <t>Prenájom stolnotenisovej haly, 01/2025, Bratislava</t>
  </si>
  <si>
    <t>30250029</t>
  </si>
  <si>
    <t>28</t>
  </si>
  <si>
    <t>26.02.2025</t>
  </si>
  <si>
    <t>Účastnícky poplatok za medzinárodný turnaj v parastolnom tenise, Lignano, Sabbiadoro, 6.-9.3.2025, PVÚ:11 ŠP:7 RT:4</t>
  </si>
  <si>
    <t>Federazione italiana Tennistavolo</t>
  </si>
  <si>
    <t>Účastnícky poplatok za medzinárodný turnaj v parastolnom ten</t>
  </si>
  <si>
    <t>30250030</t>
  </si>
  <si>
    <t>202500505</t>
  </si>
  <si>
    <t>21.02.2025</t>
  </si>
  <si>
    <t>Poplatok za informáciu pre audit</t>
  </si>
  <si>
    <t>31634419</t>
  </si>
  <si>
    <t>Privatbanka, a.s.</t>
  </si>
  <si>
    <t>30250031</t>
  </si>
  <si>
    <t>926702739</t>
  </si>
  <si>
    <t>Pitný režim, sekretariát</t>
  </si>
  <si>
    <t>50046586</t>
  </si>
  <si>
    <t>Dolphin Central Europe, s.r.o.</t>
  </si>
  <si>
    <t>30250032</t>
  </si>
  <si>
    <t>10250004</t>
  </si>
  <si>
    <t>členský poplatok na rok 2025</t>
  </si>
  <si>
    <t>50250005</t>
  </si>
  <si>
    <t>2501</t>
  </si>
  <si>
    <t>Poplatok za súťaž v tanci na vozíku, Hong KOng, 22.-23.3.2025</t>
  </si>
  <si>
    <t>World Abilitysport Federation</t>
  </si>
  <si>
    <t>Poplatok banka</t>
  </si>
  <si>
    <t>250006</t>
  </si>
  <si>
    <t>voda do ostrekovača AA657NG</t>
  </si>
  <si>
    <t>Pavel Bílik</t>
  </si>
  <si>
    <t>PHM AA657 NG</t>
  </si>
  <si>
    <t>250007</t>
  </si>
  <si>
    <t>Účastnícky poplatok s ubytovaním  počas European Para Archery Cup 26.-31.05.2025, Rím, Taliansko</t>
  </si>
  <si>
    <t>Roma European Para Archery</t>
  </si>
  <si>
    <t>Účastnícky poplatok s ubytovaním</t>
  </si>
  <si>
    <t>250008</t>
  </si>
  <si>
    <t>Poplatok za koňa, Motešice, Česká republika, 07.-09.03.2025, paradrezúra</t>
  </si>
  <si>
    <t>Para Dressage FEI</t>
  </si>
  <si>
    <t>Poplatok za koňa, Motešice, Česká republika, 07.-09.03.2025,</t>
  </si>
  <si>
    <t>250009</t>
  </si>
  <si>
    <t>Náklady sekretariát 01/2025</t>
  </si>
  <si>
    <t>Denisa Konečná</t>
  </si>
  <si>
    <t>250010</t>
  </si>
  <si>
    <t>Martin Čapla</t>
  </si>
  <si>
    <t>PHM BL615LD</t>
  </si>
  <si>
    <t>c - zabezpečenie činnosti a úloh v roku 2025</t>
  </si>
  <si>
    <t>d - dvojica - curling na vozíku (telesne postihnutí)</t>
  </si>
  <si>
    <t>d - Ivan Dávid</t>
  </si>
  <si>
    <t>c - zabezpečenie činnosti a úloh SZTPŠ v roku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</si>
</sst>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80" val="6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25400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topLeftCell="A16"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6" t="s">
        <v>0</v>
      </c>
      <c r="C1" s="314"/>
      <c r="D1" s="314"/>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4</v>
      </c>
      <c r="C6" s="205"/>
      <c r="D6" s="205"/>
    </row>
    <row r="7" spans="1:4" s="18" customFormat="1" ht="15" customHeight="1" x14ac:dyDescent="0.15">
      <c r="A7" s="294" t="s">
        <v>5</v>
      </c>
      <c r="C7" s="205"/>
      <c r="D7" s="205"/>
    </row>
    <row r="8" spans="1:4" s="18" customFormat="1" ht="15" customHeight="1" x14ac:dyDescent="0.15">
      <c r="A8" s="269" t="s">
        <v>6</v>
      </c>
      <c r="C8" s="205"/>
      <c r="D8" s="205"/>
    </row>
    <row r="9" spans="1:4" s="18" customFormat="1" ht="15" customHeight="1" x14ac:dyDescent="0.15">
      <c r="A9" s="269" t="s">
        <v>7</v>
      </c>
      <c r="C9" s="205"/>
      <c r="D9" s="205"/>
    </row>
    <row r="10" spans="1:4" s="18" customFormat="1" ht="15.75" customHeight="1" x14ac:dyDescent="0.15">
      <c r="A10" s="294" t="s">
        <v>8</v>
      </c>
      <c r="C10" s="205"/>
      <c r="D10" s="205"/>
    </row>
    <row r="11" spans="1:4" s="18" customFormat="1" ht="42.75" customHeight="1" x14ac:dyDescent="0.15">
      <c r="A11" s="294" t="s">
        <v>9</v>
      </c>
      <c r="C11" s="205"/>
      <c r="D11" s="205"/>
    </row>
    <row r="12" spans="1:4" s="18" customFormat="1" ht="20.5" customHeight="1" x14ac:dyDescent="0.15">
      <c r="A12" s="302" t="s">
        <v>10</v>
      </c>
      <c r="C12" s="205"/>
      <c r="D12" s="205"/>
    </row>
    <row r="13" spans="1:4" s="18" customFormat="1" ht="23.5" customHeight="1" x14ac:dyDescent="0.15">
      <c r="A13" s="307"/>
      <c r="C13" s="205"/>
      <c r="D13" s="205"/>
    </row>
    <row r="14" spans="1:4" s="18" customFormat="1" ht="18" x14ac:dyDescent="0.15">
      <c r="A14" s="308" t="s">
        <v>11</v>
      </c>
      <c r="C14" s="205"/>
      <c r="D14" s="205"/>
    </row>
    <row r="15" spans="1:4" ht="16.25" customHeight="1" x14ac:dyDescent="0.15">
      <c r="A15" s="127"/>
      <c r="C15" s="21"/>
    </row>
    <row r="16" spans="1:4" ht="332" x14ac:dyDescent="0.15">
      <c r="A16" s="296" t="s">
        <v>12</v>
      </c>
      <c r="C16" s="21"/>
    </row>
    <row r="17" spans="1:4" ht="17.5" customHeight="1" x14ac:dyDescent="0.15">
      <c r="A17" s="21"/>
      <c r="C17" s="21"/>
    </row>
    <row r="18" spans="1:4" ht="226.25" customHeight="1" x14ac:dyDescent="0.15">
      <c r="A18" s="296" t="s">
        <v>13</v>
      </c>
      <c r="B18" s="257"/>
      <c r="C18" s="21"/>
    </row>
    <row r="19" spans="1:4" ht="30.5" customHeight="1" x14ac:dyDescent="0.15">
      <c r="A19" s="21"/>
      <c r="B19" s="257"/>
      <c r="C19" s="21"/>
    </row>
    <row r="20" spans="1:4" ht="26.25" customHeight="1" x14ac:dyDescent="0.15">
      <c r="A20" s="297" t="s">
        <v>14</v>
      </c>
      <c r="C20" s="21"/>
    </row>
    <row r="21" spans="1:4" ht="42" x14ac:dyDescent="0.15">
      <c r="A21" s="19" t="s">
        <v>15</v>
      </c>
      <c r="C21" s="315"/>
      <c r="D21" s="315"/>
    </row>
    <row r="22" spans="1:4" x14ac:dyDescent="0.15">
      <c r="C22" s="316"/>
      <c r="D22" s="315"/>
    </row>
    <row r="23" spans="1:4" ht="70" x14ac:dyDescent="0.15">
      <c r="A23" s="23" t="s">
        <v>16</v>
      </c>
      <c r="C23" s="255"/>
      <c r="D23" s="256"/>
    </row>
    <row r="24" spans="1:4" ht="12.75" customHeight="1" x14ac:dyDescent="0.15">
      <c r="C24" s="312"/>
      <c r="D24" s="313"/>
    </row>
    <row r="25" spans="1:4" ht="29.5" customHeight="1" x14ac:dyDescent="0.15">
      <c r="A25" s="23" t="s">
        <v>17</v>
      </c>
    </row>
    <row r="26" spans="1:4" ht="13.75" customHeight="1" x14ac:dyDescent="0.15"/>
    <row r="27" spans="1:4" ht="28" x14ac:dyDescent="0.15">
      <c r="A27" s="19" t="s">
        <v>18</v>
      </c>
      <c r="B27" s="261"/>
    </row>
    <row r="28" spans="1:4" x14ac:dyDescent="0.15">
      <c r="A28" s="20"/>
    </row>
    <row r="29" spans="1:4" ht="42" x14ac:dyDescent="0.15">
      <c r="A29" s="23" t="s">
        <v>19</v>
      </c>
    </row>
    <row r="30" spans="1:4" ht="12.75" customHeight="1" x14ac:dyDescent="0.15"/>
    <row r="31" spans="1:4" ht="28" x14ac:dyDescent="0.15">
      <c r="A31" s="19" t="s">
        <v>20</v>
      </c>
    </row>
    <row r="32" spans="1:4" ht="12.5" customHeight="1" x14ac:dyDescent="0.15"/>
    <row r="33" spans="1:3" ht="15.75" customHeight="1" x14ac:dyDescent="0.15">
      <c r="A33" s="19" t="s">
        <v>21</v>
      </c>
    </row>
    <row r="34" spans="1:3" ht="12.5" customHeight="1" x14ac:dyDescent="0.15"/>
    <row r="35" spans="1:3" ht="56" x14ac:dyDescent="0.15">
      <c r="A35" s="19" t="s">
        <v>22</v>
      </c>
    </row>
    <row r="36" spans="1:3" ht="12" customHeight="1" x14ac:dyDescent="0.15"/>
    <row r="37" spans="1:3" ht="28" x14ac:dyDescent="0.15">
      <c r="A37" s="271" t="s">
        <v>23</v>
      </c>
    </row>
    <row r="39" spans="1:3" ht="84" x14ac:dyDescent="0.15">
      <c r="A39" s="23" t="s">
        <v>24</v>
      </c>
    </row>
    <row r="40" spans="1:3" ht="12.75" customHeight="1" x14ac:dyDescent="0.15"/>
    <row r="41" spans="1:3" ht="28" x14ac:dyDescent="0.15">
      <c r="A41" s="19" t="s">
        <v>25</v>
      </c>
    </row>
    <row r="42" spans="1:3" ht="12.75" customHeight="1" x14ac:dyDescent="0.15"/>
    <row r="43" spans="1:3" ht="81.75" customHeight="1" x14ac:dyDescent="0.15">
      <c r="A43" s="300" t="s">
        <v>26</v>
      </c>
      <c r="C43" s="22"/>
    </row>
    <row r="44" spans="1:3" ht="64.5" customHeight="1" x14ac:dyDescent="0.15">
      <c r="A44" s="298" t="s">
        <v>27</v>
      </c>
      <c r="C44" s="22"/>
    </row>
    <row r="45" spans="1:3" ht="12.75" customHeight="1" x14ac:dyDescent="0.15">
      <c r="A45" s="298"/>
      <c r="C45" s="22"/>
    </row>
    <row r="46" spans="1:3" ht="41.5" customHeight="1" x14ac:dyDescent="0.15">
      <c r="A46" s="299" t="s">
        <v>28</v>
      </c>
      <c r="C46" s="22"/>
    </row>
    <row r="47" spans="1:3" ht="11.5" customHeight="1" x14ac:dyDescent="0.15"/>
    <row r="48" spans="1:3" ht="14" x14ac:dyDescent="0.15">
      <c r="A48" s="300" t="s">
        <v>29</v>
      </c>
    </row>
    <row r="49" spans="1:1" ht="12" customHeight="1" x14ac:dyDescent="0.15"/>
    <row r="50" spans="1:1" ht="42" x14ac:dyDescent="0.15">
      <c r="A50" s="19" t="s">
        <v>30</v>
      </c>
    </row>
    <row r="51" spans="1:1" ht="12.75" customHeight="1" x14ac:dyDescent="0.15"/>
    <row r="52" spans="1:1" ht="84" x14ac:dyDescent="0.15">
      <c r="A52" s="19" t="s">
        <v>31</v>
      </c>
    </row>
    <row r="53" spans="1:1" ht="12.75" customHeight="1" x14ac:dyDescent="0.15"/>
    <row r="54" spans="1:1" ht="42" x14ac:dyDescent="0.15">
      <c r="A54" s="19" t="s">
        <v>32</v>
      </c>
    </row>
    <row r="56" spans="1:1" ht="14" x14ac:dyDescent="0.15">
      <c r="A56" s="19" t="s">
        <v>33</v>
      </c>
    </row>
    <row r="58" spans="1:1" ht="14" x14ac:dyDescent="0.15">
      <c r="A58" s="19" t="s">
        <v>34</v>
      </c>
    </row>
    <row r="60" spans="1:1" ht="121.75" customHeight="1" x14ac:dyDescent="0.15">
      <c r="A60" s="23" t="s">
        <v>35</v>
      </c>
    </row>
    <row r="61" spans="1:1" ht="12.5" customHeight="1" x14ac:dyDescent="0.15">
      <c r="A61" s="23"/>
    </row>
    <row r="62" spans="1:1" ht="14.25" customHeight="1" x14ac:dyDescent="0.15">
      <c r="A62" s="19" t="s">
        <v>36</v>
      </c>
    </row>
    <row r="63" spans="1:1" ht="28" x14ac:dyDescent="0.15">
      <c r="A63" s="19" t="s">
        <v>37</v>
      </c>
    </row>
    <row r="64" spans="1:1" ht="28" customHeight="1" x14ac:dyDescent="0.15">
      <c r="A64" s="19" t="s">
        <v>38</v>
      </c>
    </row>
    <row r="66" spans="1:1" ht="93.5" customHeight="1" x14ac:dyDescent="0.15">
      <c r="A66" s="23" t="s">
        <v>39</v>
      </c>
    </row>
    <row r="68" spans="1:1" ht="18" x14ac:dyDescent="0.15">
      <c r="A68" s="258" t="s">
        <v>40</v>
      </c>
    </row>
    <row r="70" spans="1:1" ht="174.5" customHeight="1" x14ac:dyDescent="0.15">
      <c r="A70" s="259" t="s">
        <v>41</v>
      </c>
    </row>
    <row r="71" spans="1:1" ht="13.25" customHeight="1" x14ac:dyDescent="0.15">
      <c r="A71" s="259"/>
    </row>
    <row r="72" spans="1:1" ht="173.5" customHeight="1" x14ac:dyDescent="0.15">
      <c r="A72" s="309" t="s">
        <v>42</v>
      </c>
    </row>
    <row r="73" spans="1:1" ht="42" x14ac:dyDescent="0.15">
      <c r="A73" s="23" t="s">
        <v>43</v>
      </c>
    </row>
    <row r="74" spans="1:1" ht="14" x14ac:dyDescent="0.15">
      <c r="A74" s="25" t="s">
        <v>44</v>
      </c>
    </row>
    <row r="75" spans="1:1" ht="61.75" customHeight="1" x14ac:dyDescent="0.15">
      <c r="A75" s="23" t="s">
        <v>45</v>
      </c>
    </row>
    <row r="76" spans="1:1" ht="28.5" customHeight="1" x14ac:dyDescent="0.15">
      <c r="A76" s="23" t="s">
        <v>46</v>
      </c>
    </row>
    <row r="77" spans="1:1" ht="14" x14ac:dyDescent="0.15">
      <c r="A77" s="128" t="s">
        <v>47</v>
      </c>
    </row>
    <row r="78" spans="1:1" ht="14" x14ac:dyDescent="0.15">
      <c r="A78" s="129" t="s">
        <v>48</v>
      </c>
    </row>
    <row r="79" spans="1:1" ht="14" x14ac:dyDescent="0.15">
      <c r="A79" s="129" t="s">
        <v>49</v>
      </c>
    </row>
    <row r="80" spans="1:1" ht="14" x14ac:dyDescent="0.15">
      <c r="A80" s="129" t="s">
        <v>50</v>
      </c>
    </row>
    <row r="81" spans="1:2" ht="14" x14ac:dyDescent="0.15">
      <c r="A81" s="130" t="s">
        <v>51</v>
      </c>
    </row>
    <row r="82" spans="1:2" ht="14" x14ac:dyDescent="0.15">
      <c r="A82" s="129" t="s">
        <v>52</v>
      </c>
    </row>
    <row r="83" spans="1:2" ht="14" x14ac:dyDescent="0.15">
      <c r="A83" s="130" t="s">
        <v>53</v>
      </c>
    </row>
    <row r="84" spans="1:2" ht="14" x14ac:dyDescent="0.15">
      <c r="A84" s="129" t="s">
        <v>54</v>
      </c>
    </row>
    <row r="85" spans="1:2" ht="14" x14ac:dyDescent="0.15">
      <c r="A85" s="131" t="s">
        <v>55</v>
      </c>
    </row>
    <row r="86" spans="1:2" x14ac:dyDescent="0.15">
      <c r="A86" s="24"/>
    </row>
    <row r="87" spans="1:2" ht="18" x14ac:dyDescent="0.15">
      <c r="A87" s="303" t="s">
        <v>56</v>
      </c>
    </row>
    <row r="89" spans="1:2" ht="14" x14ac:dyDescent="0.15">
      <c r="A89" s="260" t="s">
        <v>57</v>
      </c>
    </row>
    <row r="90" spans="1:2" ht="14" x14ac:dyDescent="0.15">
      <c r="A90" s="23" t="s">
        <v>58</v>
      </c>
    </row>
    <row r="91" spans="1:2" ht="14" x14ac:dyDescent="0.15">
      <c r="A91" s="25" t="s">
        <v>44</v>
      </c>
    </row>
    <row r="92" spans="1:2" ht="14" x14ac:dyDescent="0.15">
      <c r="A92" s="23" t="s">
        <v>59</v>
      </c>
      <c r="B92" s="262"/>
    </row>
    <row r="93" spans="1:2" x14ac:dyDescent="0.15">
      <c r="A93" s="23"/>
    </row>
    <row r="94" spans="1:2" ht="14" x14ac:dyDescent="0.15">
      <c r="A94" s="260" t="s">
        <v>60</v>
      </c>
    </row>
    <row r="95" spans="1:2" ht="56" x14ac:dyDescent="0.15">
      <c r="A95" s="23" t="s">
        <v>61</v>
      </c>
    </row>
    <row r="96" spans="1:2" x14ac:dyDescent="0.15">
      <c r="A96" s="23"/>
    </row>
    <row r="97" spans="1:4" ht="14" x14ac:dyDescent="0.15">
      <c r="A97" s="260" t="s">
        <v>62</v>
      </c>
    </row>
    <row r="98" spans="1:4" ht="68.5" customHeight="1" x14ac:dyDescent="0.15">
      <c r="A98" s="23" t="s">
        <v>63</v>
      </c>
    </row>
    <row r="99" spans="1:4" x14ac:dyDescent="0.15">
      <c r="A99" s="23"/>
    </row>
    <row r="100" spans="1:4" ht="14" x14ac:dyDescent="0.15">
      <c r="A100" s="260" t="s">
        <v>64</v>
      </c>
    </row>
    <row r="101" spans="1:4" ht="84" x14ac:dyDescent="0.15">
      <c r="A101" s="23" t="s">
        <v>65</v>
      </c>
    </row>
    <row r="102" spans="1:4" x14ac:dyDescent="0.15">
      <c r="A102" s="23"/>
    </row>
    <row r="103" spans="1:4" ht="14" x14ac:dyDescent="0.15">
      <c r="A103" s="295" t="s">
        <v>66</v>
      </c>
    </row>
    <row r="104" spans="1:4" ht="56" x14ac:dyDescent="0.15">
      <c r="A104" s="23" t="s">
        <v>67</v>
      </c>
    </row>
    <row r="105" spans="1:4" x14ac:dyDescent="0.15">
      <c r="A105" s="23"/>
      <c r="B105" s="20" t="s">
        <v>68</v>
      </c>
    </row>
    <row r="106" spans="1:4" ht="14" x14ac:dyDescent="0.15">
      <c r="A106" s="260" t="s">
        <v>69</v>
      </c>
    </row>
    <row r="107" spans="1:4" ht="71.25" customHeight="1" x14ac:dyDescent="0.15">
      <c r="A107" s="19" t="s">
        <v>70</v>
      </c>
    </row>
    <row r="108" spans="1:4" ht="42" x14ac:dyDescent="0.15">
      <c r="A108" s="19" t="s">
        <v>71</v>
      </c>
    </row>
    <row r="109" spans="1:4" ht="28" x14ac:dyDescent="0.15">
      <c r="A109" s="19" t="s">
        <v>72</v>
      </c>
    </row>
    <row r="110" spans="1:4" ht="10.5" customHeight="1" x14ac:dyDescent="0.15">
      <c r="D110" s="20" t="s">
        <v>68</v>
      </c>
    </row>
    <row r="111" spans="1:4" ht="99.75" customHeight="1" x14ac:dyDescent="0.15">
      <c r="A111" s="23" t="s">
        <v>73</v>
      </c>
    </row>
    <row r="112" spans="1:4" ht="28" x14ac:dyDescent="0.15">
      <c r="A112" s="19" t="s">
        <v>74</v>
      </c>
    </row>
    <row r="114" spans="1:2" ht="196" x14ac:dyDescent="0.15">
      <c r="A114" s="23" t="s">
        <v>75</v>
      </c>
    </row>
    <row r="115" spans="1:2" ht="11.25" customHeight="1" x14ac:dyDescent="0.15">
      <c r="A115" s="270"/>
      <c r="B115" s="257"/>
    </row>
    <row r="116" spans="1:2" ht="14" x14ac:dyDescent="0.15">
      <c r="A116" s="260" t="s">
        <v>76</v>
      </c>
    </row>
    <row r="117" spans="1:2" ht="32.5" customHeight="1" x14ac:dyDescent="0.15">
      <c r="A117" s="23" t="s">
        <v>77</v>
      </c>
    </row>
    <row r="118" spans="1:2" x14ac:dyDescent="0.15">
      <c r="A118" s="23"/>
    </row>
    <row r="119" spans="1:2" ht="14" x14ac:dyDescent="0.15">
      <c r="A119" s="260" t="s">
        <v>78</v>
      </c>
    </row>
    <row r="120" spans="1:2" ht="12" customHeight="1" x14ac:dyDescent="0.15">
      <c r="A120" s="23" t="s">
        <v>79</v>
      </c>
    </row>
    <row r="121" spans="1:2" ht="3" hidden="1" customHeight="1" x14ac:dyDescent="0.15">
      <c r="A121" s="23"/>
    </row>
    <row r="122" spans="1:2" ht="14" x14ac:dyDescent="0.15">
      <c r="A122" s="23" t="s">
        <v>80</v>
      </c>
    </row>
    <row r="123" spans="1:2" ht="28" x14ac:dyDescent="0.15">
      <c r="A123" s="23" t="s">
        <v>81</v>
      </c>
    </row>
    <row r="124" spans="1:2" ht="14" x14ac:dyDescent="0.15">
      <c r="A124" s="23" t="s">
        <v>82</v>
      </c>
    </row>
    <row r="125" spans="1:2" ht="28" x14ac:dyDescent="0.15">
      <c r="A125" s="23" t="s">
        <v>83</v>
      </c>
    </row>
    <row r="126" spans="1:2" ht="42" x14ac:dyDescent="0.15">
      <c r="A126" s="23" t="s">
        <v>84</v>
      </c>
    </row>
    <row r="127" spans="1:2" ht="33.75" customHeight="1" x14ac:dyDescent="0.15">
      <c r="A127" s="23" t="s">
        <v>85</v>
      </c>
    </row>
    <row r="128" spans="1:2" ht="12.75" customHeight="1" x14ac:dyDescent="0.15">
      <c r="A128" s="305" t="s">
        <v>44</v>
      </c>
    </row>
    <row r="129" spans="1:1" ht="15.75" customHeight="1" x14ac:dyDescent="0.15">
      <c r="A129" s="304" t="s">
        <v>86</v>
      </c>
    </row>
    <row r="130" spans="1:1" ht="12.75" customHeight="1" x14ac:dyDescent="0.15">
      <c r="A130" s="23"/>
    </row>
    <row r="131" spans="1:1" ht="14" x14ac:dyDescent="0.15">
      <c r="A131" s="295" t="s">
        <v>87</v>
      </c>
    </row>
    <row r="132" spans="1:1" ht="40.75" customHeight="1" x14ac:dyDescent="0.15">
      <c r="A132" s="23" t="s">
        <v>88</v>
      </c>
    </row>
    <row r="133" spans="1:1" ht="61.5" customHeight="1" x14ac:dyDescent="0.15">
      <c r="A133" s="301" t="s">
        <v>89</v>
      </c>
    </row>
    <row r="134" spans="1:1" ht="14" x14ac:dyDescent="0.15">
      <c r="A134" s="260" t="s">
        <v>90</v>
      </c>
    </row>
    <row r="135" spans="1:1" ht="112" x14ac:dyDescent="0.15">
      <c r="A135" s="301" t="s">
        <v>91</v>
      </c>
    </row>
    <row r="136" spans="1:1" x14ac:dyDescent="0.15">
      <c r="A136"/>
    </row>
    <row r="137" spans="1:1" ht="71.5" customHeight="1" x14ac:dyDescent="0.15">
      <c r="A137" s="300" t="s">
        <v>92</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7" t="s">
        <v>93</v>
      </c>
      <c r="B1" s="317"/>
      <c r="C1" s="317"/>
      <c r="D1" s="317"/>
      <c r="E1" s="317"/>
      <c r="F1" s="317"/>
      <c r="G1" s="317"/>
      <c r="H1" s="317"/>
      <c r="I1" s="52"/>
      <c r="J1" s="37"/>
    </row>
    <row r="2" spans="1:11" ht="16" x14ac:dyDescent="0.2">
      <c r="A2" s="323" t="s">
        <v>94</v>
      </c>
      <c r="B2" s="323"/>
      <c r="C2" s="323"/>
      <c r="D2" s="323"/>
      <c r="E2" s="323"/>
      <c r="F2" s="323"/>
      <c r="G2" s="323"/>
      <c r="H2" s="321" t="str">
        <f>+Doklady!I100</f>
        <v>V1</v>
      </c>
      <c r="I2" s="321"/>
    </row>
    <row r="3" spans="1:11" ht="14" x14ac:dyDescent="0.15">
      <c r="A3" s="40"/>
      <c r="B3" s="40"/>
      <c r="C3" s="40"/>
      <c r="D3" s="40"/>
      <c r="E3" s="40"/>
      <c r="F3" s="40"/>
      <c r="G3" s="40"/>
      <c r="H3" s="322">
        <f>+Doklady!I101</f>
        <v>45740</v>
      </c>
      <c r="I3" s="322"/>
    </row>
    <row r="4" spans="1:11" ht="15.75" customHeight="1" x14ac:dyDescent="0.15">
      <c r="A4" s="41" t="s">
        <v>95</v>
      </c>
      <c r="B4" s="318" t="s">
        <v>96</v>
      </c>
      <c r="C4" s="319"/>
      <c r="D4" s="319"/>
      <c r="E4" s="320"/>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97</v>
      </c>
      <c r="B7" s="10" t="s">
        <v>98</v>
      </c>
      <c r="C7" s="10" t="s">
        <v>99</v>
      </c>
      <c r="D7" s="10" t="s">
        <v>100</v>
      </c>
      <c r="E7" s="10" t="s">
        <v>101</v>
      </c>
      <c r="F7" s="10" t="s">
        <v>102</v>
      </c>
      <c r="G7" s="10" t="s">
        <v>103</v>
      </c>
      <c r="H7" s="11" t="s">
        <v>104</v>
      </c>
      <c r="I7" s="58" t="s">
        <v>105</v>
      </c>
      <c r="J7" s="44"/>
    </row>
    <row r="8" spans="1:11" ht="72" x14ac:dyDescent="0.15">
      <c r="A8" s="46" t="s">
        <v>106</v>
      </c>
      <c r="B8" s="152"/>
      <c r="C8" s="152"/>
      <c r="D8" s="48">
        <v>45779</v>
      </c>
      <c r="E8" s="153" t="s">
        <v>107</v>
      </c>
      <c r="F8" s="153"/>
      <c r="G8" s="153"/>
      <c r="H8" s="154"/>
      <c r="I8" s="155"/>
      <c r="J8" s="44"/>
    </row>
    <row r="9" spans="1:11" ht="48" x14ac:dyDescent="0.15">
      <c r="A9" s="46" t="s">
        <v>106</v>
      </c>
      <c r="B9" s="47" t="s">
        <v>108</v>
      </c>
      <c r="C9" s="47" t="s">
        <v>109</v>
      </c>
      <c r="D9" s="48">
        <v>45780</v>
      </c>
      <c r="E9" s="46" t="s">
        <v>110</v>
      </c>
      <c r="F9" s="46"/>
      <c r="G9" s="46" t="s">
        <v>111</v>
      </c>
      <c r="H9" s="49">
        <v>400</v>
      </c>
      <c r="I9" s="55">
        <v>3</v>
      </c>
      <c r="J9" s="44"/>
    </row>
    <row r="10" spans="1:11" ht="13" x14ac:dyDescent="0.15">
      <c r="A10" s="46" t="s">
        <v>106</v>
      </c>
      <c r="B10" s="47" t="s">
        <v>112</v>
      </c>
      <c r="C10" s="47" t="s">
        <v>113</v>
      </c>
      <c r="D10" s="48">
        <v>45781</v>
      </c>
      <c r="E10" s="46" t="s">
        <v>114</v>
      </c>
      <c r="F10" s="46"/>
      <c r="G10" s="46" t="s">
        <v>115</v>
      </c>
      <c r="H10" s="49"/>
      <c r="I10" s="55">
        <v>3</v>
      </c>
      <c r="J10" s="44"/>
    </row>
    <row r="11" spans="1:11" ht="13" x14ac:dyDescent="0.15">
      <c r="A11" s="46" t="s">
        <v>106</v>
      </c>
      <c r="B11" s="47" t="s">
        <v>116</v>
      </c>
      <c r="C11" s="47" t="s">
        <v>117</v>
      </c>
      <c r="D11" s="48">
        <v>45782</v>
      </c>
      <c r="E11" s="46" t="s">
        <v>118</v>
      </c>
      <c r="F11" s="46"/>
      <c r="G11" s="46" t="s">
        <v>119</v>
      </c>
      <c r="H11" s="49">
        <v>100</v>
      </c>
      <c r="I11" s="55">
        <v>3</v>
      </c>
      <c r="J11" s="44"/>
    </row>
    <row r="12" spans="1:11" ht="13" x14ac:dyDescent="0.15">
      <c r="A12" s="46" t="s">
        <v>106</v>
      </c>
      <c r="B12" s="47" t="s">
        <v>120</v>
      </c>
      <c r="C12" s="47" t="s">
        <v>121</v>
      </c>
      <c r="D12" s="48">
        <v>45783</v>
      </c>
      <c r="E12" s="46" t="s">
        <v>122</v>
      </c>
      <c r="F12" s="46"/>
      <c r="G12" s="46" t="s">
        <v>123</v>
      </c>
      <c r="H12" s="49">
        <v>50</v>
      </c>
      <c r="I12" s="55">
        <v>3</v>
      </c>
      <c r="J12" s="44"/>
    </row>
    <row r="13" spans="1:11" ht="13" x14ac:dyDescent="0.15">
      <c r="A13" s="46" t="s">
        <v>106</v>
      </c>
      <c r="B13" s="47" t="s">
        <v>124</v>
      </c>
      <c r="C13" s="47" t="s">
        <v>125</v>
      </c>
      <c r="D13" s="48">
        <v>45784</v>
      </c>
      <c r="E13" s="46" t="s">
        <v>126</v>
      </c>
      <c r="F13" s="46"/>
      <c r="G13" s="46" t="s">
        <v>127</v>
      </c>
      <c r="H13" s="49">
        <v>200</v>
      </c>
      <c r="I13" s="55">
        <v>3</v>
      </c>
      <c r="J13" s="44"/>
    </row>
    <row r="14" spans="1:11" ht="13" x14ac:dyDescent="0.15">
      <c r="A14" s="46" t="s">
        <v>106</v>
      </c>
      <c r="B14" s="47" t="s">
        <v>128</v>
      </c>
      <c r="C14" s="47" t="s">
        <v>129</v>
      </c>
      <c r="D14" s="48">
        <v>45785</v>
      </c>
      <c r="E14" s="46" t="s">
        <v>130</v>
      </c>
      <c r="F14" s="46"/>
      <c r="G14" s="46" t="s">
        <v>131</v>
      </c>
      <c r="H14" s="49"/>
      <c r="I14" s="55">
        <v>3</v>
      </c>
      <c r="J14" s="44"/>
    </row>
    <row r="15" spans="1:11" ht="13" x14ac:dyDescent="0.15">
      <c r="A15" s="46" t="s">
        <v>106</v>
      </c>
      <c r="B15" s="47" t="s">
        <v>132</v>
      </c>
      <c r="C15" s="47" t="s">
        <v>133</v>
      </c>
      <c r="D15" s="48">
        <v>45786</v>
      </c>
      <c r="E15" s="46" t="s">
        <v>134</v>
      </c>
      <c r="F15" s="46"/>
      <c r="G15" s="46" t="s">
        <v>135</v>
      </c>
      <c r="H15" s="49">
        <v>505</v>
      </c>
      <c r="I15" s="55">
        <v>3</v>
      </c>
      <c r="J15" s="44"/>
    </row>
    <row r="16" spans="1:11" ht="132" x14ac:dyDescent="0.15">
      <c r="A16" s="46" t="s">
        <v>106</v>
      </c>
      <c r="B16" s="156"/>
      <c r="C16" s="156"/>
      <c r="D16" s="48">
        <v>45787</v>
      </c>
      <c r="E16" s="157" t="s">
        <v>136</v>
      </c>
      <c r="F16" s="157"/>
      <c r="G16" s="157"/>
      <c r="H16" s="158"/>
      <c r="I16" s="159"/>
      <c r="J16" s="44"/>
    </row>
    <row r="17" spans="1:18" ht="13" x14ac:dyDescent="0.15">
      <c r="A17" s="46" t="s">
        <v>106</v>
      </c>
      <c r="B17" s="47" t="s">
        <v>137</v>
      </c>
      <c r="C17" s="47" t="s">
        <v>138</v>
      </c>
      <c r="D17" s="48">
        <v>45788</v>
      </c>
      <c r="E17" s="46" t="s">
        <v>139</v>
      </c>
      <c r="F17" s="46"/>
      <c r="G17" s="46" t="s">
        <v>140</v>
      </c>
      <c r="H17" s="49"/>
      <c r="I17" s="55">
        <v>2</v>
      </c>
      <c r="J17" s="44"/>
    </row>
    <row r="18" spans="1:18" ht="13" x14ac:dyDescent="0.15">
      <c r="A18" s="46" t="s">
        <v>106</v>
      </c>
      <c r="B18" s="47" t="s">
        <v>141</v>
      </c>
      <c r="C18" s="47" t="s">
        <v>142</v>
      </c>
      <c r="D18" s="48">
        <v>45789</v>
      </c>
      <c r="E18" s="46" t="s">
        <v>143</v>
      </c>
      <c r="F18" s="46"/>
      <c r="G18" s="46" t="s">
        <v>144</v>
      </c>
      <c r="H18" s="49"/>
      <c r="I18" s="55">
        <v>2</v>
      </c>
      <c r="J18" s="44"/>
    </row>
    <row r="19" spans="1:18" ht="13" x14ac:dyDescent="0.15">
      <c r="A19" s="46" t="s">
        <v>106</v>
      </c>
      <c r="B19" s="47" t="s">
        <v>145</v>
      </c>
      <c r="C19" s="47" t="s">
        <v>146</v>
      </c>
      <c r="D19" s="48">
        <v>45790</v>
      </c>
      <c r="E19" s="46" t="s">
        <v>147</v>
      </c>
      <c r="F19" s="46"/>
      <c r="G19" s="46" t="s">
        <v>148</v>
      </c>
      <c r="H19" s="49">
        <v>1000</v>
      </c>
      <c r="I19" s="55">
        <v>2</v>
      </c>
      <c r="J19" s="44"/>
    </row>
    <row r="20" spans="1:18" ht="13" x14ac:dyDescent="0.15">
      <c r="A20" s="46" t="s">
        <v>106</v>
      </c>
      <c r="B20" s="47" t="s">
        <v>149</v>
      </c>
      <c r="C20" s="47" t="s">
        <v>150</v>
      </c>
      <c r="D20" s="48">
        <v>45791</v>
      </c>
      <c r="E20" s="46" t="s">
        <v>151</v>
      </c>
      <c r="F20" s="46"/>
      <c r="G20" s="46" t="s">
        <v>152</v>
      </c>
      <c r="H20" s="49">
        <v>300</v>
      </c>
      <c r="I20" s="55">
        <v>2</v>
      </c>
      <c r="J20" s="44"/>
    </row>
    <row r="21" spans="1:18" ht="13" x14ac:dyDescent="0.15">
      <c r="A21" s="46" t="s">
        <v>106</v>
      </c>
      <c r="B21" s="47" t="s">
        <v>153</v>
      </c>
      <c r="C21" s="47" t="s">
        <v>154</v>
      </c>
      <c r="D21" s="48">
        <v>45792</v>
      </c>
      <c r="E21" s="46" t="s">
        <v>155</v>
      </c>
      <c r="F21" s="46"/>
      <c r="G21" s="46" t="s">
        <v>156</v>
      </c>
      <c r="H21" s="49">
        <v>600</v>
      </c>
      <c r="I21" s="55">
        <v>2</v>
      </c>
      <c r="J21" s="44"/>
    </row>
    <row r="22" spans="1:18" ht="13" x14ac:dyDescent="0.15">
      <c r="A22" s="46" t="s">
        <v>106</v>
      </c>
      <c r="B22" s="47" t="s">
        <v>157</v>
      </c>
      <c r="C22" s="47" t="s">
        <v>158</v>
      </c>
      <c r="D22" s="48">
        <v>45793</v>
      </c>
      <c r="E22" s="46" t="s">
        <v>159</v>
      </c>
      <c r="F22" s="46"/>
      <c r="G22" s="46" t="s">
        <v>160</v>
      </c>
      <c r="H22" s="49">
        <v>25.9</v>
      </c>
      <c r="I22" s="55">
        <v>2</v>
      </c>
      <c r="J22" s="44"/>
    </row>
    <row r="23" spans="1:18" ht="13" x14ac:dyDescent="0.15">
      <c r="A23" s="46" t="s">
        <v>106</v>
      </c>
      <c r="B23" s="47" t="s">
        <v>161</v>
      </c>
      <c r="C23" s="47" t="s">
        <v>162</v>
      </c>
      <c r="D23" s="48">
        <v>45794</v>
      </c>
      <c r="E23" s="46" t="s">
        <v>163</v>
      </c>
      <c r="F23" s="46"/>
      <c r="G23" s="46" t="s">
        <v>164</v>
      </c>
      <c r="H23" s="49"/>
      <c r="I23" s="55">
        <v>2</v>
      </c>
      <c r="J23" s="44"/>
    </row>
    <row r="24" spans="1:18" ht="13" x14ac:dyDescent="0.15">
      <c r="A24" s="46" t="s">
        <v>106</v>
      </c>
      <c r="B24" s="156"/>
      <c r="C24" s="156"/>
      <c r="D24" s="48">
        <v>45795</v>
      </c>
      <c r="E24" s="157" t="s">
        <v>165</v>
      </c>
      <c r="F24" s="157"/>
      <c r="G24" s="157"/>
      <c r="H24" s="158"/>
      <c r="I24" s="159"/>
      <c r="J24" s="44"/>
      <c r="M24" s="44"/>
      <c r="N24" s="44"/>
      <c r="O24" s="44"/>
      <c r="P24" s="44"/>
      <c r="Q24" s="44"/>
      <c r="R24" s="44"/>
    </row>
    <row r="25" spans="1:18" ht="24" x14ac:dyDescent="0.1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6" x14ac:dyDescent="0.15">
      <c r="A26" s="46" t="s">
        <v>106</v>
      </c>
      <c r="B26" s="47" t="s">
        <v>170</v>
      </c>
      <c r="C26" s="47" t="s">
        <v>170</v>
      </c>
      <c r="D26" s="48">
        <v>45796</v>
      </c>
      <c r="E26" s="46" t="s">
        <v>171</v>
      </c>
      <c r="F26" s="46"/>
      <c r="G26" s="46" t="s">
        <v>172</v>
      </c>
      <c r="H26" s="49"/>
      <c r="I26" s="55">
        <v>4</v>
      </c>
      <c r="J26" s="44"/>
      <c r="M26" s="44"/>
      <c r="N26" s="44"/>
      <c r="O26" s="44"/>
      <c r="P26" s="44"/>
      <c r="Q26" s="44"/>
      <c r="R26" s="44"/>
    </row>
    <row r="27" spans="1:18" ht="13" x14ac:dyDescent="0.1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 x14ac:dyDescent="0.15">
      <c r="A28" s="46" t="s">
        <v>106</v>
      </c>
      <c r="B28" s="47" t="s">
        <v>177</v>
      </c>
      <c r="C28" s="47">
        <v>1213275</v>
      </c>
      <c r="D28" s="48">
        <v>45798</v>
      </c>
      <c r="E28" s="46" t="s">
        <v>178</v>
      </c>
      <c r="F28" s="46"/>
      <c r="G28" s="46" t="s">
        <v>179</v>
      </c>
      <c r="H28" s="49">
        <v>19.100000000000001</v>
      </c>
      <c r="I28" s="55">
        <v>2</v>
      </c>
      <c r="J28" s="44"/>
      <c r="O28" s="44"/>
      <c r="P28" s="44"/>
      <c r="Q28" s="44"/>
      <c r="R28" s="44"/>
    </row>
    <row r="29" spans="1:18" ht="13" x14ac:dyDescent="0.15">
      <c r="A29" s="46" t="s">
        <v>106</v>
      </c>
      <c r="B29" s="47" t="s">
        <v>180</v>
      </c>
      <c r="C29" s="47">
        <v>2007006035</v>
      </c>
      <c r="D29" s="48">
        <v>45799</v>
      </c>
      <c r="E29" s="46" t="s">
        <v>181</v>
      </c>
      <c r="F29" s="46"/>
      <c r="G29" s="46" t="s">
        <v>182</v>
      </c>
      <c r="H29" s="49">
        <v>277.74</v>
      </c>
      <c r="I29" s="55">
        <v>4</v>
      </c>
      <c r="J29" s="44"/>
      <c r="O29" s="44"/>
      <c r="P29" s="44"/>
      <c r="Q29" s="44"/>
      <c r="R29" s="44"/>
    </row>
    <row r="30" spans="1:18" ht="13" x14ac:dyDescent="0.15">
      <c r="A30" s="46" t="s">
        <v>106</v>
      </c>
      <c r="B30" s="50">
        <v>45627</v>
      </c>
      <c r="C30" s="47" t="s">
        <v>174</v>
      </c>
      <c r="D30" s="48">
        <v>45800</v>
      </c>
      <c r="E30" s="46" t="s">
        <v>183</v>
      </c>
      <c r="F30" s="46"/>
      <c r="G30" s="46" t="s">
        <v>184</v>
      </c>
      <c r="H30" s="49">
        <v>50</v>
      </c>
      <c r="I30" s="55">
        <v>4</v>
      </c>
      <c r="J30" s="44"/>
      <c r="O30" s="44"/>
      <c r="P30" s="44"/>
      <c r="Q30" s="44"/>
      <c r="R30" s="44"/>
    </row>
    <row r="31" spans="1:18" ht="13" x14ac:dyDescent="0.15">
      <c r="A31" s="46" t="s">
        <v>106</v>
      </c>
      <c r="B31" s="47" t="s">
        <v>185</v>
      </c>
      <c r="C31" s="47" t="s">
        <v>186</v>
      </c>
      <c r="D31" s="48">
        <v>45801</v>
      </c>
      <c r="E31" s="46" t="s">
        <v>187</v>
      </c>
      <c r="F31" s="46"/>
      <c r="G31" s="46" t="s">
        <v>188</v>
      </c>
      <c r="H31" s="49">
        <v>9</v>
      </c>
      <c r="I31" s="55">
        <v>4</v>
      </c>
      <c r="J31" s="44"/>
      <c r="O31" s="44"/>
      <c r="P31" s="44"/>
      <c r="Q31" s="44"/>
      <c r="R31" s="44"/>
    </row>
    <row r="32" spans="1:18" ht="13" x14ac:dyDescent="0.15">
      <c r="A32" s="46" t="s">
        <v>106</v>
      </c>
      <c r="B32" s="50">
        <v>45413</v>
      </c>
      <c r="C32" s="47" t="s">
        <v>189</v>
      </c>
      <c r="D32" s="48">
        <v>45802</v>
      </c>
      <c r="E32" s="46" t="s">
        <v>190</v>
      </c>
      <c r="F32" s="46"/>
      <c r="G32" s="46" t="s">
        <v>191</v>
      </c>
      <c r="H32" s="49">
        <v>10</v>
      </c>
      <c r="I32" s="55">
        <v>4</v>
      </c>
      <c r="J32" s="44"/>
      <c r="O32" s="44"/>
      <c r="P32" s="44"/>
      <c r="Q32" s="44"/>
      <c r="R32" s="44"/>
    </row>
    <row r="33" spans="1:18" ht="13" x14ac:dyDescent="0.15">
      <c r="A33" s="46" t="s">
        <v>106</v>
      </c>
      <c r="B33" s="47" t="s">
        <v>192</v>
      </c>
      <c r="C33" s="47" t="s">
        <v>193</v>
      </c>
      <c r="D33" s="48">
        <v>45803</v>
      </c>
      <c r="E33" s="46" t="s">
        <v>194</v>
      </c>
      <c r="F33" s="46"/>
      <c r="G33" s="46" t="s">
        <v>195</v>
      </c>
      <c r="H33" s="49">
        <v>500</v>
      </c>
      <c r="I33" s="55">
        <v>1</v>
      </c>
      <c r="J33" s="44"/>
      <c r="O33" s="44"/>
      <c r="P33" s="44"/>
      <c r="Q33" s="44"/>
      <c r="R33" s="44"/>
    </row>
    <row r="34" spans="1:18" ht="13" x14ac:dyDescent="0.15">
      <c r="A34" s="46" t="s">
        <v>106</v>
      </c>
      <c r="B34" s="47" t="s">
        <v>196</v>
      </c>
      <c r="C34" s="47" t="s">
        <v>197</v>
      </c>
      <c r="D34" s="48">
        <v>45804</v>
      </c>
      <c r="E34" s="46" t="s">
        <v>198</v>
      </c>
      <c r="F34" s="46"/>
      <c r="G34" s="46" t="s">
        <v>199</v>
      </c>
      <c r="H34" s="49">
        <v>71.2</v>
      </c>
      <c r="I34" s="55">
        <v>3</v>
      </c>
      <c r="J34" s="44"/>
      <c r="O34" s="44"/>
      <c r="P34" s="44"/>
      <c r="Q34" s="44"/>
      <c r="R34" s="44"/>
    </row>
    <row r="35" spans="1:18" ht="60" x14ac:dyDescent="0.15">
      <c r="A35" s="46" t="s">
        <v>106</v>
      </c>
      <c r="B35" s="47" t="s">
        <v>200</v>
      </c>
      <c r="C35" s="47" t="s">
        <v>201</v>
      </c>
      <c r="D35" s="48">
        <v>45805</v>
      </c>
      <c r="E35" s="46" t="s">
        <v>202</v>
      </c>
      <c r="F35" s="46"/>
      <c r="G35" s="46" t="s">
        <v>203</v>
      </c>
      <c r="H35" s="49">
        <v>250</v>
      </c>
      <c r="I35" s="55">
        <v>1</v>
      </c>
      <c r="J35" s="44"/>
    </row>
    <row r="36" spans="1:18" ht="13" x14ac:dyDescent="0.15">
      <c r="A36" s="46" t="s">
        <v>106</v>
      </c>
      <c r="B36" s="47" t="s">
        <v>204</v>
      </c>
      <c r="C36" s="47" t="s">
        <v>205</v>
      </c>
      <c r="D36" s="48">
        <v>45806</v>
      </c>
      <c r="E36" s="46" t="s">
        <v>206</v>
      </c>
      <c r="F36" s="46"/>
      <c r="G36" s="46" t="s">
        <v>207</v>
      </c>
      <c r="H36" s="49">
        <v>320</v>
      </c>
      <c r="I36" s="55">
        <v>5</v>
      </c>
      <c r="J36" s="44"/>
    </row>
    <row r="37" spans="1:18" ht="13" x14ac:dyDescent="0.15">
      <c r="A37" s="46" t="s">
        <v>106</v>
      </c>
      <c r="B37" s="47" t="s">
        <v>208</v>
      </c>
      <c r="C37" s="47" t="s">
        <v>209</v>
      </c>
      <c r="D37" s="48">
        <v>45807</v>
      </c>
      <c r="E37" s="46" t="s">
        <v>210</v>
      </c>
      <c r="F37" s="46"/>
      <c r="G37" s="46" t="s">
        <v>211</v>
      </c>
      <c r="H37" s="49">
        <v>40</v>
      </c>
      <c r="I37" s="55">
        <v>4</v>
      </c>
      <c r="J37" s="44"/>
    </row>
    <row r="38" spans="1:18" ht="13" x14ac:dyDescent="0.15">
      <c r="A38" s="46" t="s">
        <v>106</v>
      </c>
      <c r="B38" s="50">
        <v>45292</v>
      </c>
      <c r="C38" s="47" t="s">
        <v>212</v>
      </c>
      <c r="D38" s="48">
        <v>45808</v>
      </c>
      <c r="E38" s="46" t="s">
        <v>213</v>
      </c>
      <c r="F38" s="46"/>
      <c r="G38" s="46" t="s">
        <v>214</v>
      </c>
      <c r="H38" s="49">
        <v>25</v>
      </c>
      <c r="I38" s="55">
        <v>4</v>
      </c>
      <c r="J38" s="44"/>
    </row>
    <row r="39" spans="1:18" ht="13" x14ac:dyDescent="0.15">
      <c r="A39" s="46" t="s">
        <v>106</v>
      </c>
      <c r="B39" s="50">
        <v>45352</v>
      </c>
      <c r="C39" s="47" t="s">
        <v>215</v>
      </c>
      <c r="D39" s="48">
        <v>45809</v>
      </c>
      <c r="E39" s="46" t="s">
        <v>216</v>
      </c>
      <c r="F39" s="46"/>
      <c r="G39" s="46" t="s">
        <v>217</v>
      </c>
      <c r="H39" s="49">
        <v>150</v>
      </c>
      <c r="I39" s="55">
        <v>4</v>
      </c>
      <c r="J39" s="44"/>
    </row>
    <row r="40" spans="1:18" ht="13" x14ac:dyDescent="0.15">
      <c r="A40" s="46" t="s">
        <v>106</v>
      </c>
      <c r="B40" s="50">
        <v>45383</v>
      </c>
      <c r="C40" s="47" t="s">
        <v>218</v>
      </c>
      <c r="D40" s="48">
        <v>45810</v>
      </c>
      <c r="E40" s="46" t="s">
        <v>219</v>
      </c>
      <c r="F40" s="46"/>
      <c r="G40" s="46" t="s">
        <v>220</v>
      </c>
      <c r="H40" s="49">
        <v>100</v>
      </c>
      <c r="I40" s="55">
        <v>4</v>
      </c>
      <c r="J40" s="44"/>
    </row>
    <row r="41" spans="1:18" ht="12" x14ac:dyDescent="0.15">
      <c r="A41" s="46" t="s">
        <v>106</v>
      </c>
      <c r="B41" s="47" t="s">
        <v>221</v>
      </c>
      <c r="C41" s="47" t="s">
        <v>222</v>
      </c>
      <c r="D41" s="48">
        <v>45811</v>
      </c>
      <c r="E41" s="46" t="s">
        <v>223</v>
      </c>
      <c r="F41" s="46"/>
      <c r="G41" s="46" t="s">
        <v>224</v>
      </c>
      <c r="H41" s="49">
        <v>74.099999999999994</v>
      </c>
      <c r="I41" s="55">
        <v>4</v>
      </c>
    </row>
    <row r="42" spans="1:18" ht="12" x14ac:dyDescent="0.15">
      <c r="A42" s="46" t="s">
        <v>106</v>
      </c>
      <c r="B42" s="47" t="s">
        <v>225</v>
      </c>
      <c r="C42" s="47" t="s">
        <v>226</v>
      </c>
      <c r="D42" s="48">
        <v>45812</v>
      </c>
      <c r="E42" s="46" t="s">
        <v>227</v>
      </c>
      <c r="F42" s="46"/>
      <c r="G42" s="46" t="s">
        <v>228</v>
      </c>
      <c r="H42" s="49">
        <v>120</v>
      </c>
      <c r="I42" s="55">
        <v>2</v>
      </c>
    </row>
    <row r="43" spans="1:18" ht="48" x14ac:dyDescent="0.15">
      <c r="A43" s="46" t="s">
        <v>106</v>
      </c>
      <c r="B43" s="47" t="s">
        <v>229</v>
      </c>
      <c r="C43" s="47" t="s">
        <v>229</v>
      </c>
      <c r="D43" s="48">
        <v>45813</v>
      </c>
      <c r="E43" s="46" t="s">
        <v>230</v>
      </c>
      <c r="F43" s="46"/>
      <c r="G43" s="46" t="s">
        <v>231</v>
      </c>
      <c r="H43" s="49">
        <v>80</v>
      </c>
      <c r="I43" s="55">
        <v>3</v>
      </c>
    </row>
    <row r="44" spans="1:18" ht="12" x14ac:dyDescent="0.15">
      <c r="A44" s="46" t="s">
        <v>106</v>
      </c>
      <c r="B44" s="47" t="s">
        <v>232</v>
      </c>
      <c r="C44" s="47" t="s">
        <v>233</v>
      </c>
      <c r="D44" s="48">
        <v>45814</v>
      </c>
      <c r="E44" s="46" t="s">
        <v>234</v>
      </c>
      <c r="F44" s="46"/>
      <c r="G44" s="46" t="s">
        <v>235</v>
      </c>
      <c r="H44" s="49">
        <v>600</v>
      </c>
      <c r="I44" s="55">
        <v>1</v>
      </c>
    </row>
    <row r="45" spans="1:18" s="39" customFormat="1" ht="12" x14ac:dyDescent="0.15">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ht="12" x14ac:dyDescent="0.15">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ht="12" x14ac:dyDescent="0.15">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ht="12" x14ac:dyDescent="0.15">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ht="12" x14ac:dyDescent="0.15">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96" x14ac:dyDescent="0.15">
      <c r="A50" s="46" t="s">
        <v>253</v>
      </c>
      <c r="B50" s="47"/>
      <c r="C50" s="47"/>
      <c r="D50" s="48">
        <v>45820</v>
      </c>
      <c r="E50" s="46" t="s">
        <v>254</v>
      </c>
      <c r="F50" s="46"/>
      <c r="G50" s="46"/>
      <c r="H50" s="49"/>
      <c r="I50" s="55">
        <v>10</v>
      </c>
      <c r="K50" s="38"/>
      <c r="L50" s="38"/>
      <c r="M50" s="38"/>
      <c r="N50" s="38"/>
      <c r="O50" s="38"/>
      <c r="P50" s="38"/>
      <c r="Q50" s="38"/>
      <c r="R50" s="38"/>
    </row>
    <row r="51" spans="1:18" s="39" customFormat="1" ht="12" x14ac:dyDescent="0.15">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12" x14ac:dyDescent="0.15">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ht="12" x14ac:dyDescent="0.15">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ht="12" x14ac:dyDescent="0.15">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4" x14ac:dyDescent="0.15">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8" x14ac:dyDescent="0.15">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0" x14ac:dyDescent="0.15">
      <c r="A57" s="46" t="s">
        <v>276</v>
      </c>
      <c r="B57" s="47"/>
      <c r="C57" s="47"/>
      <c r="D57" s="48">
        <v>45827</v>
      </c>
      <c r="E57" s="46" t="s">
        <v>277</v>
      </c>
      <c r="F57" s="46"/>
      <c r="G57" s="46" t="s">
        <v>68</v>
      </c>
      <c r="H57" s="49"/>
      <c r="I57" s="55"/>
      <c r="K57" s="38"/>
      <c r="L57" s="38"/>
      <c r="M57" s="38"/>
      <c r="N57" s="38"/>
      <c r="O57" s="38"/>
      <c r="P57" s="38"/>
      <c r="Q57" s="38"/>
      <c r="R57" s="38"/>
    </row>
    <row r="58" spans="1:18" s="39" customFormat="1" ht="12" x14ac:dyDescent="0.15">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4" x14ac:dyDescent="0.15">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ht="12" x14ac:dyDescent="0.15">
      <c r="A60" s="46" t="s">
        <v>106</v>
      </c>
      <c r="B60" s="47"/>
      <c r="C60" s="47"/>
      <c r="D60" s="48">
        <v>45830</v>
      </c>
      <c r="E60" s="46" t="s">
        <v>165</v>
      </c>
      <c r="F60" s="46"/>
      <c r="G60" s="46"/>
      <c r="H60" s="49"/>
      <c r="I60" s="55">
        <v>2</v>
      </c>
      <c r="K60" s="38"/>
      <c r="L60" s="38"/>
      <c r="M60" s="38"/>
      <c r="N60" s="38"/>
      <c r="O60" s="38"/>
      <c r="P60" s="38"/>
      <c r="Q60" s="38"/>
      <c r="R60" s="38"/>
    </row>
    <row r="61" spans="1:18" s="39" customFormat="1" ht="12" x14ac:dyDescent="0.15">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ht="12" x14ac:dyDescent="0.15">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ht="12" x14ac:dyDescent="0.15">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4" x14ac:dyDescent="0.15">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4" x14ac:dyDescent="0.15">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36" x14ac:dyDescent="0.15">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4" x14ac:dyDescent="0.15">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4" x14ac:dyDescent="0.15">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60" x14ac:dyDescent="0.15">
      <c r="A69" s="46" t="s">
        <v>318</v>
      </c>
      <c r="B69" s="47"/>
      <c r="C69" s="47"/>
      <c r="D69" s="48">
        <v>45839</v>
      </c>
      <c r="E69" s="46" t="s">
        <v>319</v>
      </c>
      <c r="F69" s="46"/>
      <c r="G69" s="46"/>
      <c r="H69" s="49"/>
      <c r="I69" s="55">
        <v>10</v>
      </c>
      <c r="K69" s="38"/>
      <c r="L69" s="38"/>
      <c r="M69" s="38"/>
      <c r="N69" s="38"/>
      <c r="O69" s="38"/>
      <c r="P69" s="38"/>
      <c r="Q69" s="38"/>
      <c r="R69" s="38"/>
    </row>
    <row r="70" spans="1:18" s="39" customFormat="1" ht="12" x14ac:dyDescent="0.15">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36" x14ac:dyDescent="0.15">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ht="12" x14ac:dyDescent="0.15">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8" x14ac:dyDescent="0.15">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60" x14ac:dyDescent="0.15">
      <c r="A74" s="46" t="s">
        <v>318</v>
      </c>
      <c r="B74" s="47"/>
      <c r="C74" s="47"/>
      <c r="D74" s="48">
        <v>45844</v>
      </c>
      <c r="E74" s="46" t="s">
        <v>334</v>
      </c>
      <c r="F74" s="46"/>
      <c r="G74" s="46"/>
      <c r="H74" s="49"/>
      <c r="I74" s="55">
        <v>10</v>
      </c>
      <c r="K74" s="38"/>
      <c r="L74" s="38"/>
      <c r="M74" s="38"/>
      <c r="N74" s="38"/>
      <c r="O74" s="38"/>
      <c r="P74" s="38"/>
      <c r="Q74" s="38"/>
      <c r="R74" s="38"/>
    </row>
    <row r="75" spans="1:18" s="39" customFormat="1" ht="12" x14ac:dyDescent="0.15">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ht="12" x14ac:dyDescent="0.15">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6" t="s">
        <v>347</v>
      </c>
      <c r="B1" s="327"/>
      <c r="C1" s="174">
        <v>45688</v>
      </c>
      <c r="D1" s="26"/>
      <c r="G1" s="252">
        <v>45688</v>
      </c>
    </row>
    <row r="2" spans="1:7" ht="14" x14ac:dyDescent="0.15">
      <c r="A2" s="28"/>
      <c r="B2" s="28"/>
      <c r="G2" s="252">
        <v>45716</v>
      </c>
    </row>
    <row r="3" spans="1:7" ht="14" x14ac:dyDescent="0.15">
      <c r="A3" s="30" t="s">
        <v>348</v>
      </c>
      <c r="B3" s="324" t="str">
        <f>INDEX(Adr!B:B,Doklady!B102+1)</f>
        <v>Slovenský zväz telesne postihnutých športovcov</v>
      </c>
      <c r="C3" s="324"/>
      <c r="D3" s="324"/>
      <c r="G3" s="252">
        <v>45747</v>
      </c>
    </row>
    <row r="4" spans="1:7" ht="14" x14ac:dyDescent="0.15">
      <c r="A4" s="30" t="s">
        <v>349</v>
      </c>
      <c r="B4" s="29" t="str">
        <f>RIGHT("0000"&amp;INDEX(Adr!A:A,Doklady!B102+1),8)</f>
        <v>22665234</v>
      </c>
      <c r="G4" s="252">
        <v>45777</v>
      </c>
    </row>
    <row r="5" spans="1:7" ht="14" x14ac:dyDescent="0.15">
      <c r="A5" s="30" t="s">
        <v>350</v>
      </c>
      <c r="B5" s="29" t="str">
        <f>INDEX(Adr!D:D,Doklady!B102+1)&amp;", "&amp;INDEX(Adr!E:E,Doklady!B102+1)</f>
        <v>Benediktiho 5, Bratislava 1</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351</v>
      </c>
      <c r="B9" s="31" t="s">
        <v>351</v>
      </c>
      <c r="C9" s="32" t="s">
        <v>352</v>
      </c>
      <c r="G9" s="252">
        <v>45930</v>
      </c>
    </row>
    <row r="10" spans="1:7" ht="14" x14ac:dyDescent="0.15">
      <c r="A10" s="133" t="s">
        <v>353</v>
      </c>
      <c r="B10" s="134" t="s">
        <v>354</v>
      </c>
      <c r="C10" s="175">
        <f>+Spolu!C10</f>
        <v>0</v>
      </c>
      <c r="G10" s="252">
        <v>45961</v>
      </c>
    </row>
    <row r="11" spans="1:7" ht="14" x14ac:dyDescent="0.15">
      <c r="A11" s="133" t="s">
        <v>355</v>
      </c>
      <c r="B11" s="134" t="s">
        <v>356</v>
      </c>
      <c r="C11" s="175">
        <f>+Spolu!C11</f>
        <v>0</v>
      </c>
      <c r="G11" s="252">
        <v>45991</v>
      </c>
    </row>
    <row r="12" spans="1:7" ht="14" x14ac:dyDescent="0.15">
      <c r="A12" s="133" t="s">
        <v>357</v>
      </c>
      <c r="B12" s="134" t="s">
        <v>358</v>
      </c>
      <c r="C12" s="175">
        <v>0</v>
      </c>
      <c r="G12" s="252">
        <v>46022</v>
      </c>
    </row>
    <row r="13" spans="1:7" ht="14" x14ac:dyDescent="0.15">
      <c r="A13" s="133" t="s">
        <v>359</v>
      </c>
      <c r="B13" s="134" t="s">
        <v>360</v>
      </c>
      <c r="C13" s="175">
        <f>+Spolu!C13</f>
        <v>0</v>
      </c>
      <c r="G13" s="252"/>
    </row>
    <row r="14" spans="1:7" ht="14" x14ac:dyDescent="0.15">
      <c r="A14" s="133" t="s">
        <v>361</v>
      </c>
      <c r="B14" s="134" t="s">
        <v>362</v>
      </c>
      <c r="C14" s="175">
        <f>+Spolu!C14</f>
        <v>0</v>
      </c>
      <c r="G14" s="252"/>
    </row>
    <row r="15" spans="1:7" ht="14" x14ac:dyDescent="0.15">
      <c r="A15" s="33" t="s">
        <v>363</v>
      </c>
      <c r="B15" s="132"/>
      <c r="C15" s="34">
        <f>SUM(C10:C14)</f>
        <v>0</v>
      </c>
      <c r="G15" s="252"/>
    </row>
    <row r="16" spans="1:7" ht="14" x14ac:dyDescent="0.15">
      <c r="G16" s="252"/>
    </row>
    <row r="17" spans="1:5" ht="72" customHeight="1" x14ac:dyDescent="0.15">
      <c r="A17" s="325" t="s">
        <v>364</v>
      </c>
      <c r="B17" s="325"/>
      <c r="C17" s="325"/>
      <c r="D17" s="325"/>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40"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36" t="s">
        <v>365</v>
      </c>
      <c r="B1" s="336"/>
      <c r="C1" s="336"/>
      <c r="D1" s="336"/>
      <c r="E1" s="336"/>
      <c r="F1" s="336"/>
      <c r="G1" s="336"/>
      <c r="H1" s="336"/>
      <c r="I1" s="336"/>
    </row>
    <row r="2" spans="1:26" ht="7.5" customHeight="1" x14ac:dyDescent="0.15">
      <c r="C2" s="8"/>
      <c r="D2" s="8"/>
      <c r="E2" s="8"/>
      <c r="F2" s="8"/>
      <c r="G2" s="8"/>
      <c r="H2" s="8"/>
      <c r="I2" s="8"/>
    </row>
    <row r="3" spans="1:26" s="9" customFormat="1" ht="26" customHeight="1" x14ac:dyDescent="0.15">
      <c r="B3" s="160" t="s">
        <v>95</v>
      </c>
      <c r="C3" s="337" t="e">
        <f>INDEX(Adr!B2:B70,Doklady!B102)</f>
        <v>#REF!</v>
      </c>
      <c r="D3" s="337"/>
      <c r="E3" s="337"/>
      <c r="F3" s="337"/>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349</v>
      </c>
      <c r="C4" s="66" t="str">
        <f>INDEX(Adr!A2:A92,Doklady!B102)</f>
        <v>22665234</v>
      </c>
      <c r="I4" s="65">
        <f>Doklady!I101</f>
        <v>45740</v>
      </c>
      <c r="J4" s="85"/>
      <c r="K4" s="85"/>
      <c r="L4" s="85"/>
      <c r="M4" s="85"/>
      <c r="N4" s="85"/>
      <c r="O4" s="85"/>
      <c r="P4" s="85"/>
      <c r="Q4" s="85"/>
      <c r="R4" s="85"/>
      <c r="S4" s="85"/>
      <c r="T4" s="85"/>
      <c r="U4" s="85"/>
      <c r="V4" s="85"/>
      <c r="W4" s="85"/>
      <c r="X4" s="85"/>
      <c r="Y4" s="85"/>
      <c r="Z4" s="85"/>
    </row>
    <row r="5" spans="1:26" s="9" customFormat="1" ht="13" x14ac:dyDescent="0.1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350</v>
      </c>
      <c r="C6" s="9" t="str">
        <f>INDEX(Adr!D2:D92,Doklady!B102)&amp;", "&amp;INDEX(Adr!E2:E92,Doklady!B102)&amp;", "&amp;INDEX(Adr!F2:F92,Doklady!B102)</f>
        <v>Benediktiho 5, Bratislava 1, 811 05</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351</v>
      </c>
      <c r="B9" s="67" t="s">
        <v>367</v>
      </c>
      <c r="C9" s="125" t="s">
        <v>368</v>
      </c>
      <c r="D9" s="125" t="s">
        <v>369</v>
      </c>
      <c r="E9" s="338" t="s">
        <v>370</v>
      </c>
      <c r="F9" s="339"/>
      <c r="J9" s="8"/>
      <c r="L9" s="118"/>
      <c r="M9" s="118"/>
      <c r="N9" s="118"/>
      <c r="O9" s="118"/>
      <c r="P9" s="118"/>
      <c r="Q9" s="118"/>
      <c r="R9" s="118"/>
      <c r="S9" s="118"/>
    </row>
    <row r="10" spans="1:26" ht="18" x14ac:dyDescent="0.2">
      <c r="A10" s="69" t="s">
        <v>353</v>
      </c>
      <c r="B10" s="70" t="s">
        <v>354</v>
      </c>
      <c r="C10" s="126">
        <f>SUMIF(FP!J:J,Doklady!$B$1&amp;A10,FP!D:D)</f>
        <v>0</v>
      </c>
      <c r="D10" s="126">
        <f>C10-E10</f>
        <v>0</v>
      </c>
      <c r="E10" s="329">
        <f>SUMIF(K:K,A10,I:I)</f>
        <v>0</v>
      </c>
      <c r="F10" s="330"/>
      <c r="L10" s="120" t="s">
        <v>371</v>
      </c>
      <c r="M10" s="118"/>
      <c r="N10" s="118"/>
      <c r="O10" s="118"/>
      <c r="P10" s="118"/>
      <c r="Q10" s="118"/>
      <c r="R10" s="118"/>
      <c r="S10" s="118"/>
    </row>
    <row r="11" spans="1:26" ht="18" x14ac:dyDescent="0.2">
      <c r="A11" s="69" t="s">
        <v>355</v>
      </c>
      <c r="B11" s="70" t="s">
        <v>356</v>
      </c>
      <c r="C11" s="126">
        <f>SUMIF(FP!J:J,Doklady!$B$1&amp;A11,FP!D:D)</f>
        <v>0</v>
      </c>
      <c r="D11" s="126">
        <f>+C11-E11</f>
        <v>0</v>
      </c>
      <c r="E11" s="340">
        <f>+I39-I42+I44-I47</f>
        <v>0</v>
      </c>
      <c r="F11" s="341"/>
      <c r="J11" s="176"/>
      <c r="L11" s="161">
        <f>L41</f>
        <v>2</v>
      </c>
      <c r="M11" s="118"/>
      <c r="N11" s="118"/>
      <c r="O11" s="118"/>
      <c r="P11" s="118"/>
      <c r="Q11" s="118"/>
      <c r="R11" s="118"/>
      <c r="S11" s="118"/>
    </row>
    <row r="12" spans="1:26" ht="18" x14ac:dyDescent="0.2">
      <c r="A12" s="69" t="s">
        <v>357</v>
      </c>
      <c r="B12" s="70" t="s">
        <v>358</v>
      </c>
      <c r="C12" s="126">
        <f>SUMIF(FP!J:J,Doklady!$B$1&amp;A12,FP!D:D)</f>
        <v>889011</v>
      </c>
      <c r="D12" s="126">
        <f>C12-E12</f>
        <v>3810</v>
      </c>
      <c r="E12" s="329">
        <f>SUMIF(K:K,A12,I:I)</f>
        <v>885201</v>
      </c>
      <c r="F12" s="330"/>
      <c r="J12" s="177"/>
      <c r="L12" s="161" t="str">
        <f>L42</f>
        <v>2</v>
      </c>
      <c r="N12" s="118"/>
      <c r="O12" s="118"/>
      <c r="P12" s="118"/>
      <c r="Q12" s="118"/>
      <c r="R12" s="118"/>
      <c r="S12" s="118"/>
    </row>
    <row r="13" spans="1:26" ht="18" x14ac:dyDescent="0.2">
      <c r="A13" s="69" t="s">
        <v>359</v>
      </c>
      <c r="B13" s="70" t="s">
        <v>360</v>
      </c>
      <c r="C13" s="126">
        <f>SUMIF(FP!J:J,Doklady!$B$1&amp;A13,FP!D:D)</f>
        <v>0</v>
      </c>
      <c r="D13" s="126">
        <f>C13-E13</f>
        <v>0</v>
      </c>
      <c r="E13" s="329">
        <f>SUMIF(K:K,A13,I:I)</f>
        <v>0</v>
      </c>
      <c r="F13" s="330"/>
      <c r="J13" s="8"/>
      <c r="L13" s="161">
        <f>L46</f>
        <v>2</v>
      </c>
      <c r="N13" s="118"/>
      <c r="O13" s="118"/>
      <c r="P13" s="118"/>
      <c r="Q13" s="118"/>
      <c r="R13" s="118"/>
      <c r="S13" s="118"/>
    </row>
    <row r="14" spans="1:26" ht="19" thickBot="1" x14ac:dyDescent="0.25">
      <c r="A14" s="69" t="s">
        <v>361</v>
      </c>
      <c r="B14" s="70" t="s">
        <v>362</v>
      </c>
      <c r="C14" s="126">
        <f>SUMIF(FP!J:J,Doklady!$B$1&amp;A14,FP!D:D)</f>
        <v>0</v>
      </c>
      <c r="D14" s="126">
        <f>C14-E14</f>
        <v>0</v>
      </c>
      <c r="E14" s="342">
        <f>SUMIF(K:K,A14,I:I)</f>
        <v>0</v>
      </c>
      <c r="F14" s="343"/>
      <c r="J14" s="8"/>
      <c r="L14" s="161" t="str">
        <f>L47</f>
        <v>2</v>
      </c>
      <c r="N14" s="118"/>
      <c r="O14" s="118"/>
      <c r="P14" s="118"/>
      <c r="Q14" s="118"/>
      <c r="R14" s="118"/>
      <c r="S14" s="118"/>
    </row>
    <row r="15" spans="1:26" ht="5.25" customHeight="1" thickTop="1" x14ac:dyDescent="0.15">
      <c r="I15" s="9"/>
    </row>
    <row r="16" spans="1:26" s="9" customFormat="1" ht="13" x14ac:dyDescent="0.15">
      <c r="A16" s="117" t="s">
        <v>372</v>
      </c>
      <c r="B16" s="349" t="s">
        <v>373</v>
      </c>
      <c r="C16" s="350"/>
      <c r="D16" s="350"/>
      <c r="E16" s="350"/>
      <c r="F16" s="350"/>
      <c r="G16" s="350"/>
      <c r="H16" s="351"/>
      <c r="I16" s="136" t="s">
        <v>374</v>
      </c>
      <c r="J16" s="85"/>
      <c r="K16" s="85"/>
      <c r="L16" s="85"/>
      <c r="M16" s="85"/>
      <c r="N16" s="85"/>
      <c r="O16" s="85"/>
      <c r="P16" s="85"/>
      <c r="Q16" s="85"/>
      <c r="R16" s="85"/>
      <c r="S16" s="85"/>
      <c r="T16" s="85"/>
      <c r="U16" s="85"/>
      <c r="V16" s="85"/>
      <c r="W16" s="85"/>
      <c r="X16" s="85"/>
      <c r="Y16" s="85"/>
      <c r="Z16" s="85"/>
    </row>
    <row r="17" spans="1:20" ht="12" x14ac:dyDescent="0.15">
      <c r="A17" s="115" t="s">
        <v>375</v>
      </c>
      <c r="B17" s="344" t="s">
        <v>376</v>
      </c>
      <c r="C17" s="344"/>
      <c r="D17" s="344"/>
      <c r="E17" s="344"/>
      <c r="F17" s="344"/>
      <c r="G17" s="344"/>
      <c r="H17" s="344"/>
      <c r="I17" s="73">
        <f>SUMIF(FP!I:I,Doklady!$B$1&amp;A17,FP!D:D)</f>
        <v>0</v>
      </c>
      <c r="T17" s="86"/>
    </row>
    <row r="18" spans="1:20" x14ac:dyDescent="0.15">
      <c r="A18" s="135" t="s">
        <v>377</v>
      </c>
      <c r="B18" s="344" t="s">
        <v>378</v>
      </c>
      <c r="C18" s="344"/>
      <c r="D18" s="344"/>
      <c r="E18" s="344"/>
      <c r="F18" s="344"/>
      <c r="G18" s="344"/>
      <c r="H18" s="344"/>
      <c r="I18" s="73">
        <f>SUMIF(FP!I:I,Doklady!$B$1&amp;A18,FP!D:D)</f>
        <v>0</v>
      </c>
    </row>
    <row r="19" spans="1:20" ht="12" x14ac:dyDescent="0.15">
      <c r="A19" s="115" t="s">
        <v>379</v>
      </c>
      <c r="B19" s="344" t="s">
        <v>380</v>
      </c>
      <c r="C19" s="344"/>
      <c r="D19" s="344"/>
      <c r="E19" s="344"/>
      <c r="F19" s="344"/>
      <c r="G19" s="344"/>
      <c r="H19" s="344"/>
      <c r="I19" s="73">
        <f>SUMIF(FP!I:I,Doklady!$B$1&amp;A19,FP!D:D)</f>
        <v>522311</v>
      </c>
    </row>
    <row r="20" spans="1:20" x14ac:dyDescent="0.15">
      <c r="A20" s="135" t="s">
        <v>381</v>
      </c>
      <c r="B20" s="333" t="s">
        <v>382</v>
      </c>
      <c r="C20" s="334"/>
      <c r="D20" s="334"/>
      <c r="E20" s="334"/>
      <c r="F20" s="334"/>
      <c r="G20" s="334"/>
      <c r="H20" s="335"/>
      <c r="I20" s="73">
        <f>SUMIF(FP!I:I,Doklady!$B$1&amp;A20,FP!D:D)</f>
        <v>366700</v>
      </c>
      <c r="T20" s="86"/>
    </row>
    <row r="21" spans="1:20" ht="12" x14ac:dyDescent="0.15">
      <c r="A21" s="115" t="s">
        <v>383</v>
      </c>
      <c r="B21" s="333" t="s">
        <v>384</v>
      </c>
      <c r="C21" s="334"/>
      <c r="D21" s="334"/>
      <c r="E21" s="334"/>
      <c r="F21" s="334"/>
      <c r="G21" s="334"/>
      <c r="H21" s="335"/>
      <c r="I21" s="73">
        <f>SUMIF(FP!I:I,Doklady!$B$1&amp;A21,FP!D:D)</f>
        <v>0</v>
      </c>
      <c r="T21" s="86"/>
    </row>
    <row r="22" spans="1:20" x14ac:dyDescent="0.15">
      <c r="A22" s="135" t="s">
        <v>385</v>
      </c>
      <c r="B22" s="352" t="s">
        <v>386</v>
      </c>
      <c r="C22" s="353"/>
      <c r="D22" s="353"/>
      <c r="E22" s="353"/>
      <c r="F22" s="353"/>
      <c r="G22" s="353"/>
      <c r="H22" s="354"/>
      <c r="I22" s="73">
        <f>SUMIF(FP!I:I,Doklady!$B$1&amp;A22,FP!D:D)</f>
        <v>0</v>
      </c>
      <c r="T22" s="86"/>
    </row>
    <row r="23" spans="1:20" ht="12" x14ac:dyDescent="0.15">
      <c r="A23" s="115" t="s">
        <v>387</v>
      </c>
      <c r="B23" s="333" t="s">
        <v>388</v>
      </c>
      <c r="C23" s="334"/>
      <c r="D23" s="334"/>
      <c r="E23" s="334"/>
      <c r="F23" s="334"/>
      <c r="G23" s="334"/>
      <c r="H23" s="335"/>
      <c r="I23" s="73">
        <f>SUMIF(FP!I:I,Doklady!$B$1&amp;A23,FP!D:D)</f>
        <v>0</v>
      </c>
      <c r="T23" s="86"/>
    </row>
    <row r="24" spans="1:20" x14ac:dyDescent="0.15">
      <c r="A24" s="135" t="s">
        <v>389</v>
      </c>
      <c r="B24" s="333" t="s">
        <v>390</v>
      </c>
      <c r="C24" s="334"/>
      <c r="D24" s="334"/>
      <c r="E24" s="334"/>
      <c r="F24" s="334"/>
      <c r="G24" s="334"/>
      <c r="H24" s="335"/>
      <c r="I24" s="73">
        <f>SUMIF(FP!I:I,Doklady!$B$1&amp;A24,FP!D:D)</f>
        <v>0</v>
      </c>
      <c r="T24" s="86"/>
    </row>
    <row r="25" spans="1:20" ht="12" x14ac:dyDescent="0.15">
      <c r="A25" s="115" t="s">
        <v>391</v>
      </c>
      <c r="B25" s="345" t="s">
        <v>392</v>
      </c>
      <c r="C25" s="346"/>
      <c r="D25" s="346"/>
      <c r="E25" s="346"/>
      <c r="F25" s="346"/>
      <c r="G25" s="346"/>
      <c r="H25" s="347"/>
      <c r="I25" s="73">
        <f>SUMIF(FP!I:I,Doklady!$B$1&amp;A25,FP!D:D)</f>
        <v>0</v>
      </c>
      <c r="T25" s="86"/>
    </row>
    <row r="26" spans="1:20" x14ac:dyDescent="0.15">
      <c r="A26" s="135" t="s">
        <v>393</v>
      </c>
      <c r="B26" s="333" t="s">
        <v>394</v>
      </c>
      <c r="C26" s="334"/>
      <c r="D26" s="334"/>
      <c r="E26" s="334"/>
      <c r="F26" s="334"/>
      <c r="G26" s="334"/>
      <c r="H26" s="335"/>
      <c r="I26" s="73">
        <f>SUMIF(FP!I:I,Doklady!$B$1&amp;A26,FP!D:D)</f>
        <v>0</v>
      </c>
      <c r="T26" s="86"/>
    </row>
    <row r="27" spans="1:20" ht="12" x14ac:dyDescent="0.15">
      <c r="A27" s="115" t="s">
        <v>395</v>
      </c>
      <c r="B27" s="333" t="s">
        <v>396</v>
      </c>
      <c r="C27" s="334"/>
      <c r="D27" s="334"/>
      <c r="E27" s="334"/>
      <c r="F27" s="334"/>
      <c r="G27" s="334"/>
      <c r="H27" s="335"/>
      <c r="I27" s="73">
        <f>SUMIF(FP!I:I,Doklady!$B$1&amp;A27,FP!D:D)</f>
        <v>0</v>
      </c>
      <c r="T27" s="86"/>
    </row>
    <row r="28" spans="1:20" x14ac:dyDescent="0.15">
      <c r="A28" s="135" t="s">
        <v>397</v>
      </c>
      <c r="B28" s="333" t="s">
        <v>398</v>
      </c>
      <c r="C28" s="334"/>
      <c r="D28" s="334"/>
      <c r="E28" s="334"/>
      <c r="F28" s="334"/>
      <c r="G28" s="334"/>
      <c r="H28" s="335"/>
      <c r="I28" s="73">
        <f>SUMIF(FP!I:I,Doklady!$B$1&amp;A28,FP!D:D)</f>
        <v>0</v>
      </c>
      <c r="T28" s="86"/>
    </row>
    <row r="29" spans="1:20" ht="12" x14ac:dyDescent="0.15">
      <c r="A29" s="115" t="s">
        <v>399</v>
      </c>
      <c r="B29" s="333" t="s">
        <v>400</v>
      </c>
      <c r="C29" s="334"/>
      <c r="D29" s="334"/>
      <c r="E29" s="334"/>
      <c r="F29" s="334"/>
      <c r="G29" s="334"/>
      <c r="H29" s="335"/>
      <c r="I29" s="73">
        <f>SUMIF(FP!I:I,Doklady!$B$1&amp;A29,FP!D:D)</f>
        <v>0</v>
      </c>
      <c r="T29" s="86"/>
    </row>
    <row r="30" spans="1:20" hidden="1" x14ac:dyDescent="0.15">
      <c r="A30" s="135" t="s">
        <v>401</v>
      </c>
      <c r="B30" s="333"/>
      <c r="C30" s="334"/>
      <c r="D30" s="334"/>
      <c r="E30" s="334"/>
      <c r="F30" s="334"/>
      <c r="G30" s="334"/>
      <c r="H30" s="335"/>
      <c r="I30" s="73">
        <f>SUMIF(FP!I:I,Doklady!$B$1&amp;A30,FP!D:D)</f>
        <v>0</v>
      </c>
      <c r="T30" s="86"/>
    </row>
    <row r="31" spans="1:20" ht="12" hidden="1" x14ac:dyDescent="0.15">
      <c r="A31" s="115" t="s">
        <v>402</v>
      </c>
      <c r="B31" s="333"/>
      <c r="C31" s="334"/>
      <c r="D31" s="334"/>
      <c r="E31" s="334"/>
      <c r="F31" s="334"/>
      <c r="G31" s="334"/>
      <c r="H31" s="335"/>
      <c r="I31" s="73">
        <f>SUMIF(FP!I:I,Doklady!$B$1&amp;A31,FP!D:D)</f>
        <v>0</v>
      </c>
      <c r="T31" s="86"/>
    </row>
    <row r="32" spans="1:20" hidden="1" x14ac:dyDescent="0.15">
      <c r="A32" s="135" t="s">
        <v>403</v>
      </c>
      <c r="B32" s="355"/>
      <c r="C32" s="356"/>
      <c r="D32" s="356"/>
      <c r="E32" s="356"/>
      <c r="F32" s="356"/>
      <c r="G32" s="356"/>
      <c r="H32" s="357"/>
      <c r="I32" s="73">
        <f>SUMIF(FP!I:I,Doklady!$B$1&amp;A32,FP!D:D)</f>
        <v>0</v>
      </c>
      <c r="T32" s="86"/>
    </row>
    <row r="33" spans="1:21" ht="12" hidden="1" x14ac:dyDescent="0.15">
      <c r="A33" s="115" t="s">
        <v>404</v>
      </c>
      <c r="B33" s="355"/>
      <c r="C33" s="356"/>
      <c r="D33" s="356"/>
      <c r="E33" s="356"/>
      <c r="F33" s="356"/>
      <c r="G33" s="356"/>
      <c r="H33" s="357"/>
      <c r="I33" s="73">
        <f>SUMIF(FP!I:I,Doklady!$B$1&amp;A33,FP!D:D)</f>
        <v>0</v>
      </c>
      <c r="T33" s="86"/>
    </row>
    <row r="34" spans="1:21" hidden="1" x14ac:dyDescent="0.15">
      <c r="A34" s="135" t="s">
        <v>405</v>
      </c>
      <c r="B34" s="358"/>
      <c r="C34" s="358"/>
      <c r="D34" s="358"/>
      <c r="E34" s="358"/>
      <c r="F34" s="358"/>
      <c r="G34" s="358"/>
      <c r="H34" s="358"/>
      <c r="I34" s="73">
        <f>SUMIF(FP!I:I,Doklady!$B$1&amp;A34,FP!D:D)</f>
        <v>0</v>
      </c>
      <c r="J34" s="8"/>
      <c r="K34" s="8"/>
    </row>
    <row r="36" spans="1:21" ht="13" x14ac:dyDescent="0.15">
      <c r="A36" s="121" t="s">
        <v>406</v>
      </c>
      <c r="B36" s="121"/>
      <c r="C36" s="220">
        <v>1</v>
      </c>
      <c r="D36" s="220">
        <v>2</v>
      </c>
      <c r="E36" s="220">
        <v>3</v>
      </c>
      <c r="F36" s="220">
        <v>4</v>
      </c>
      <c r="G36" s="220">
        <v>5</v>
      </c>
      <c r="H36" s="220">
        <v>5</v>
      </c>
      <c r="I36" s="122"/>
    </row>
    <row r="37" spans="1:21" ht="3.75" customHeight="1" x14ac:dyDescent="0.15"/>
    <row r="38" spans="1:21" ht="24" x14ac:dyDescent="0.15">
      <c r="A38" s="67" t="s">
        <v>372</v>
      </c>
      <c r="B38" s="67" t="str">
        <f>"Šport "&amp;K40</f>
        <v>Šport .</v>
      </c>
      <c r="C38" s="68" t="s">
        <v>407</v>
      </c>
      <c r="D38" s="68" t="s">
        <v>408</v>
      </c>
      <c r="E38" s="68" t="s">
        <v>409</v>
      </c>
      <c r="F38" s="68" t="s">
        <v>410</v>
      </c>
      <c r="G38" s="68" t="s">
        <v>411</v>
      </c>
      <c r="H38" s="68" t="s">
        <v>412</v>
      </c>
      <c r="I38" s="67" t="s">
        <v>363</v>
      </c>
      <c r="L38" s="84">
        <f>COUNTIF(FP!N:N,Doklady!B1&amp;"aB")</f>
        <v>0</v>
      </c>
    </row>
    <row r="39" spans="1:21" ht="12" x14ac:dyDescent="0.15">
      <c r="A39" s="115" t="s">
        <v>375</v>
      </c>
      <c r="B39" s="116" t="s">
        <v>413</v>
      </c>
      <c r="C39" s="78">
        <f>I39*0</f>
        <v>0</v>
      </c>
      <c r="D39" s="78">
        <f>I39*0</f>
        <v>0</v>
      </c>
      <c r="E39" s="78">
        <f>I39*0</f>
        <v>0</v>
      </c>
      <c r="F39" s="78">
        <f>+I39*0.2</f>
        <v>0</v>
      </c>
      <c r="G39" s="78">
        <f>+MAX(I39-C39-D39-E39-F39-H39,0)</f>
        <v>0</v>
      </c>
      <c r="H39" s="78">
        <f>+IFERROR(VLOOKUP(K40&amp;" - kapitálové transfery",B$53:C$90,2,0),0)</f>
        <v>0</v>
      </c>
      <c r="I39" s="73">
        <f>SUMIF(FP!K:K,K40,FP!D:D)</f>
        <v>0</v>
      </c>
      <c r="L39" s="84">
        <f>COUNTIF(FP!N:N,Doklady!B1&amp;"aK")</f>
        <v>0</v>
      </c>
      <c r="T39" s="86"/>
    </row>
    <row r="40" spans="1:21" ht="12" x14ac:dyDescent="0.15">
      <c r="A40" s="115" t="s">
        <v>375</v>
      </c>
      <c r="B40" s="116" t="s">
        <v>414</v>
      </c>
      <c r="C40" s="78">
        <f>DSUM(Doklady!A103:J10000,"GGG",Spolu!L40:M42)</f>
        <v>0</v>
      </c>
      <c r="D40" s="78">
        <f>DSUM(Doklady!A103:J10000,"GGG",Spolu!N40:O42)</f>
        <v>0</v>
      </c>
      <c r="E40" s="78">
        <f>DSUM(Doklady!A103:J10000,"GGG",Spolu!P40:Q42)</f>
        <v>0</v>
      </c>
      <c r="F40" s="78">
        <f>DSUM(Doklady!A103:J10000,"GGG",Spolu!R40:S42)</f>
        <v>0</v>
      </c>
      <c r="G40" s="78">
        <f>DSUM(Doklady!A103:J10000,"GGG",Spolu!T40:U42)-H40</f>
        <v>0</v>
      </c>
      <c r="H40" s="78">
        <f>+IFERROR(VLOOKUP(K40&amp;" - kapitálové transfery",B$53:D$90,3,0),0)</f>
        <v>0</v>
      </c>
      <c r="I40" s="73">
        <f>+C40+D40+E40+F40+G40+H40</f>
        <v>0</v>
      </c>
      <c r="J40" s="218" t="str">
        <f>+K45</f>
        <v>.</v>
      </c>
      <c r="K40" s="218" t="str">
        <f>IF(L38&gt;0,INDEX(FP!K:K,Doklady!B2),".")</f>
        <v>.</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15">
      <c r="A41" s="115" t="s">
        <v>375</v>
      </c>
      <c r="B41" s="123" t="s">
        <v>416</v>
      </c>
      <c r="C41" s="78">
        <f>MAX(C39-C40,0)</f>
        <v>0</v>
      </c>
      <c r="D41" s="78">
        <f>MAX(D39-D40,0)</f>
        <v>0</v>
      </c>
      <c r="E41" s="78">
        <f>MAX(E39-E40,0)</f>
        <v>0</v>
      </c>
      <c r="F41" s="78">
        <f>MIN(I39,MAX(-F39+F40,0))</f>
        <v>0</v>
      </c>
      <c r="G41" s="78">
        <f>MIN(J39,MAX(-G39+G40+MIN(F40-F39,0),0))</f>
        <v>0</v>
      </c>
      <c r="H41" s="78">
        <f>MAX(H39-H40,0)</f>
        <v>0</v>
      </c>
      <c r="I41" s="124">
        <f>+I39-I42</f>
        <v>0</v>
      </c>
      <c r="J41" s="219">
        <f>+K46</f>
        <v>0</v>
      </c>
      <c r="K41" s="219">
        <f>+I41-H41</f>
        <v>0</v>
      </c>
      <c r="L41" s="161">
        <f>IF(L38&gt;0,"a - "&amp;INDEX(FP!C:C,Doklady!B2),2)</f>
        <v>2</v>
      </c>
      <c r="M41" s="120">
        <v>1</v>
      </c>
      <c r="N41" s="161">
        <f>+L41</f>
        <v>2</v>
      </c>
      <c r="O41" s="120">
        <v>2</v>
      </c>
      <c r="P41" s="161">
        <f>+L41</f>
        <v>2</v>
      </c>
      <c r="Q41" s="120">
        <v>3</v>
      </c>
      <c r="R41" s="161">
        <f>+L41</f>
        <v>2</v>
      </c>
      <c r="S41" s="120">
        <v>4</v>
      </c>
      <c r="T41" s="161">
        <f>+L41</f>
        <v>2</v>
      </c>
      <c r="U41" s="120">
        <v>5</v>
      </c>
    </row>
    <row r="42" spans="1:21" ht="10.5" customHeight="1" x14ac:dyDescent="0.15">
      <c r="A42" s="115" t="s">
        <v>375</v>
      </c>
      <c r="B42" s="116" t="s">
        <v>417</v>
      </c>
      <c r="C42" s="73">
        <f>+C40</f>
        <v>0</v>
      </c>
      <c r="D42" s="216">
        <f>+D40</f>
        <v>0</v>
      </c>
      <c r="E42" s="216">
        <f>+E40</f>
        <v>0</v>
      </c>
      <c r="F42" s="216">
        <f>+MIN(F39:F40)</f>
        <v>0</v>
      </c>
      <c r="G42" s="216">
        <f>+MIN(G39+MAX(F39-F40,0)-MAX(E40-E39,0)-MAX(D40-D39,0)-MAX(C40-C39,0),G40)</f>
        <v>0</v>
      </c>
      <c r="H42" s="216">
        <f>+MIN(H39:H40)</f>
        <v>0</v>
      </c>
      <c r="I42" s="73">
        <f>+C42+D42+E42+MIN(F39:F40)+G42+H42</f>
        <v>0</v>
      </c>
      <c r="J42" s="219">
        <f>+K47</f>
        <v>0</v>
      </c>
      <c r="K42" s="219">
        <f>+I42-H42</f>
        <v>0</v>
      </c>
      <c r="L42" s="161" t="str">
        <f>+SUBSTITUTE(L41,"bežné","kapitálové")</f>
        <v>2</v>
      </c>
      <c r="M42" s="120">
        <v>1</v>
      </c>
      <c r="N42" s="161" t="str">
        <f>+L42</f>
        <v>2</v>
      </c>
      <c r="O42" s="120">
        <v>2</v>
      </c>
      <c r="P42" s="161" t="str">
        <f>+L42</f>
        <v>2</v>
      </c>
      <c r="Q42" s="120">
        <v>3</v>
      </c>
      <c r="R42" s="161" t="str">
        <f>+L42</f>
        <v>2</v>
      </c>
      <c r="S42" s="120">
        <v>4</v>
      </c>
      <c r="T42" s="161" t="str">
        <f>+L42</f>
        <v>2</v>
      </c>
      <c r="U42" s="120">
        <v>5</v>
      </c>
    </row>
    <row r="43" spans="1:21" ht="24" x14ac:dyDescent="0.15">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-1</v>
      </c>
    </row>
    <row r="44" spans="1:21" ht="12" x14ac:dyDescent="0.15">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ht="12" x14ac:dyDescent="0.15">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31"/>
      <c r="B50" s="332"/>
      <c r="C50" s="332"/>
      <c r="D50" s="332"/>
      <c r="E50" s="332"/>
      <c r="F50" s="332"/>
      <c r="G50" s="332"/>
      <c r="H50" s="332"/>
      <c r="I50" s="332"/>
      <c r="T50" s="86"/>
    </row>
    <row r="51" spans="1:20" x14ac:dyDescent="0.15">
      <c r="A51" s="112"/>
      <c r="B51" s="113"/>
      <c r="C51" s="111"/>
      <c r="D51" s="114"/>
      <c r="E51" s="114"/>
      <c r="F51" s="114"/>
      <c r="G51" s="222"/>
      <c r="H51" s="114"/>
      <c r="I51" s="114"/>
      <c r="T51" s="86"/>
    </row>
    <row r="52" spans="1:20" ht="24" x14ac:dyDescent="0.15">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15">
      <c r="A53" s="75" t="str">
        <f>Doklady!D1</f>
        <v>c</v>
      </c>
      <c r="B53" s="119" t="str">
        <f>Doklady!H1</f>
        <v>zabezpečenie činnosti a úloh SZTPŠ v roku 2025</v>
      </c>
      <c r="C53" s="73">
        <f>IF(A53&lt;&gt;"",INDEX(FP!D:D,Doklady!B$2+(ROW()-53)),"")</f>
        <v>522311</v>
      </c>
      <c r="D53" s="73">
        <f>IF(A53&lt;&gt;"",Doklady!I1-Doklady!J1,"")</f>
        <v>3810</v>
      </c>
      <c r="E53" s="73">
        <f>IF(A53&lt;&gt;"",MIN(D53,C53)*Doklady!C1/(1-Doklady!C1),"")</f>
        <v>0</v>
      </c>
      <c r="F53" s="71">
        <f>IF(A53&lt;&gt;"",Doklady!J1,"")</f>
        <v>0</v>
      </c>
      <c r="G53" s="73">
        <f>+IFERROR(HLOOKUP(IF(RIGHT(B53,15)="bežné transfery",LEFT(B53,LEN(B53)-18),0),$J$40:$K$42,3,0),MIN(C53,D53))</f>
        <v>3810</v>
      </c>
      <c r="H53" s="71"/>
      <c r="I53" s="73">
        <f>IF(A53&lt;&gt;"",MAX(IF(G53&lt;C53,C53-G53,0)+IF(F53&lt;E53,E53-F53,0),0),0)</f>
        <v>518501</v>
      </c>
      <c r="J53" s="84" t="str">
        <f>IF(D53&gt;C53,"Vyúčtované prostriedky nemôžu byť väčšie ako poskytnuté. Opravte v hárku ""Doklady""","")</f>
        <v/>
      </c>
      <c r="K53" s="84" t="str">
        <f>Doklady!F1</f>
        <v>026 03</v>
      </c>
      <c r="L53" s="84" t="str">
        <f>IF(A53&lt;&gt;"",INDEX(FP!H:H,Doklady!B$2+(ROW()-52)),"")</f>
        <v>B</v>
      </c>
      <c r="M53" s="84" t="str">
        <f>K53&amp;L53</f>
        <v>026 03B</v>
      </c>
      <c r="T53" s="86"/>
    </row>
    <row r="54" spans="1:20" ht="12" customHeight="1" x14ac:dyDescent="0.15">
      <c r="A54" s="75" t="str">
        <f>Doklady!D2</f>
        <v>d</v>
      </c>
      <c r="B54" s="119" t="str">
        <f>Doklady!H2</f>
        <v>Csejtey Richard</v>
      </c>
      <c r="C54" s="73">
        <f>IF(A54&lt;&gt;"",INDEX(FP!D:D,Doklady!B$2+(ROW()-53)),"")</f>
        <v>10000</v>
      </c>
      <c r="D54" s="73">
        <f>IF(A54&lt;&gt;"",Doklady!I2-Doklady!J2,"")</f>
        <v>0</v>
      </c>
      <c r="E54" s="73">
        <f>IF(A54&lt;&gt;"",MIN(D54,C54)*Doklady!C2/(1-Doklady!C2),"")</f>
        <v>0</v>
      </c>
      <c r="F54" s="71">
        <f>IF(A54&lt;&gt;"",Doklady!J2,"")</f>
        <v>0</v>
      </c>
      <c r="G54" s="73">
        <f t="shared" ref="G54:G117" si="0">+IFERROR(HLOOKUP(IF(RIGHT(B54,15)="bežné transfery",LEFT(B54,LEN(B54)-18),0),$J$40:$K$42,3,0),MIN(C54,D54))</f>
        <v>0</v>
      </c>
      <c r="H54" s="71"/>
      <c r="I54" s="73">
        <f t="shared" ref="I54:I117" si="1">IF(A54&lt;&gt;"",MAX(IF(G54&lt;C54,C54-G54,0)+IF(F54&lt;E54,E54-F54,0),0),0)</f>
        <v>10000</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15">
      <c r="A55" s="75" t="str">
        <f>Doklady!D3</f>
        <v>d</v>
      </c>
      <c r="B55" s="119" t="str">
        <f>Doklady!H3</f>
        <v>Dorič Martin</v>
      </c>
      <c r="C55" s="73">
        <f>IF(A55&lt;&gt;"",INDEX(FP!D:D,Doklady!B$2+(ROW()-53)),"")</f>
        <v>10000</v>
      </c>
      <c r="D55" s="73">
        <f>IF(A55&lt;&gt;"",Doklady!I3-Doklady!J3,"")</f>
        <v>0</v>
      </c>
      <c r="E55" s="73">
        <f>IF(A55&lt;&gt;"",MIN(D55,C55)*Doklady!C3/(1-Doklady!C3),"")</f>
        <v>0</v>
      </c>
      <c r="F55" s="71">
        <f>IF(A55&lt;&gt;"",Doklady!J3,"")</f>
        <v>0</v>
      </c>
      <c r="G55" s="73">
        <f t="shared" si="0"/>
        <v>0</v>
      </c>
      <c r="H55" s="71"/>
      <c r="I55" s="73">
        <f t="shared" si="1"/>
        <v>10000</v>
      </c>
      <c r="J55" s="84" t="str">
        <f t="shared" si="2"/>
        <v/>
      </c>
      <c r="K55" s="84" t="str">
        <f>Doklady!F3</f>
        <v>026 03</v>
      </c>
      <c r="L55" s="84" t="str">
        <f>IF(A55&lt;&gt;"",INDEX(FP!H:H,Doklady!B$2+(ROW()-52)),"")</f>
        <v>B</v>
      </c>
      <c r="M55" s="84" t="str">
        <f t="shared" si="3"/>
        <v>026 03B</v>
      </c>
    </row>
    <row r="56" spans="1:20" ht="12" x14ac:dyDescent="0.15">
      <c r="A56" s="75" t="str">
        <f>Doklady!D4</f>
        <v>d</v>
      </c>
      <c r="B56" s="119" t="str">
        <f>Doklady!H4</f>
        <v>družstvo - boccia (BC1-2)</v>
      </c>
      <c r="C56" s="73">
        <f>IF(A56&lt;&gt;"",INDEX(FP!D:D,Doklady!B$2+(ROW()-53)),"")</f>
        <v>20000</v>
      </c>
      <c r="D56" s="73">
        <f>IF(A56&lt;&gt;"",Doklady!I4-Doklady!J4,"")</f>
        <v>0</v>
      </c>
      <c r="E56" s="73">
        <f>IF(A56&lt;&gt;"",MIN(D56,C56)*Doklady!C4/(1-Doklady!C4),"")</f>
        <v>0</v>
      </c>
      <c r="F56" s="71">
        <f>IF(A56&lt;&gt;"",Doklady!J4,"")</f>
        <v>0</v>
      </c>
      <c r="G56" s="73">
        <f t="shared" si="0"/>
        <v>0</v>
      </c>
      <c r="H56" s="71"/>
      <c r="I56" s="73">
        <f t="shared" si="1"/>
        <v>20000</v>
      </c>
      <c r="J56" s="84" t="str">
        <f t="shared" si="2"/>
        <v/>
      </c>
      <c r="K56" s="84" t="str">
        <f>Doklady!F4</f>
        <v>026 03</v>
      </c>
      <c r="L56" s="84" t="str">
        <f>IF(A56&lt;&gt;"",INDEX(FP!H:H,Doklady!B$2+(ROW()-52)),"")</f>
        <v>B</v>
      </c>
      <c r="M56" s="84" t="str">
        <f t="shared" si="3"/>
        <v>026 03B</v>
      </c>
    </row>
    <row r="57" spans="1:20" ht="12" x14ac:dyDescent="0.15">
      <c r="A57" s="75" t="str">
        <f>Doklady!D5</f>
        <v>d</v>
      </c>
      <c r="B57" s="119" t="str">
        <f>Doklady!H5</f>
        <v>družstvo - boccia (BC4)</v>
      </c>
      <c r="C57" s="73">
        <f>IF(A57&lt;&gt;"",INDEX(FP!D:D,Doklady!B$2+(ROW()-53)),"")</f>
        <v>20000</v>
      </c>
      <c r="D57" s="73">
        <f>IF(A57&lt;&gt;"",Doklady!I5-Doklady!J5,"")</f>
        <v>0</v>
      </c>
      <c r="E57" s="73">
        <f>IF(A57&lt;&gt;"",MIN(D57,C57)*Doklady!C5/(1-Doklady!C5),"")</f>
        <v>0</v>
      </c>
      <c r="F57" s="71">
        <f>IF(A57&lt;&gt;"",Doklady!J5,"")</f>
        <v>0</v>
      </c>
      <c r="G57" s="73">
        <f t="shared" si="0"/>
        <v>0</v>
      </c>
      <c r="H57" s="71"/>
      <c r="I57" s="73">
        <f t="shared" si="1"/>
        <v>20000</v>
      </c>
      <c r="J57" s="84" t="str">
        <f t="shared" si="2"/>
        <v/>
      </c>
      <c r="K57" s="84" t="str">
        <f>Doklady!F5</f>
        <v>026 03</v>
      </c>
      <c r="L57" s="84" t="str">
        <f>IF(A57&lt;&gt;"",INDEX(FP!H:H,Doklady!B$2+(ROW()-52)),"")</f>
        <v>B</v>
      </c>
      <c r="M57" s="84" t="str">
        <f t="shared" si="3"/>
        <v>026 03B</v>
      </c>
    </row>
    <row r="58" spans="1:20" ht="12" customHeight="1" x14ac:dyDescent="0.15">
      <c r="A58" s="75" t="str">
        <f>Doklady!D6</f>
        <v>d</v>
      </c>
      <c r="B58" s="119" t="str">
        <f>Doklady!H6</f>
        <v>Ivan Dávid</v>
      </c>
      <c r="C58" s="73">
        <f>IF(A58&lt;&gt;"",INDEX(FP!D:D,Doklady!B$2+(ROW()-53)),"")</f>
        <v>30000</v>
      </c>
      <c r="D58" s="73">
        <f>IF(A58&lt;&gt;"",Doklady!I6-Doklady!J6,"")</f>
        <v>0</v>
      </c>
      <c r="E58" s="73">
        <f>IF(A58&lt;&gt;"",MIN(D58,C58)*Doklady!C6/(1-Doklady!C6),"")</f>
        <v>0</v>
      </c>
      <c r="F58" s="71">
        <f>IF(A58&lt;&gt;"",Doklady!J6,"")</f>
        <v>0</v>
      </c>
      <c r="G58" s="73">
        <f t="shared" si="0"/>
        <v>0</v>
      </c>
      <c r="H58" s="71"/>
      <c r="I58" s="73">
        <f t="shared" si="1"/>
        <v>30000</v>
      </c>
      <c r="J58" s="84" t="str">
        <f t="shared" si="2"/>
        <v/>
      </c>
      <c r="K58" s="84" t="str">
        <f>Doklady!F6</f>
        <v>026 03</v>
      </c>
      <c r="L58" s="84" t="str">
        <f>IF(A58&lt;&gt;"",INDEX(FP!H:H,Doklady!B$2+(ROW()-52)),"")</f>
        <v>B</v>
      </c>
      <c r="M58" s="84" t="str">
        <f t="shared" si="3"/>
        <v>026 03B</v>
      </c>
    </row>
    <row r="59" spans="1:20" ht="12" customHeight="1" x14ac:dyDescent="0.15">
      <c r="A59" s="75" t="str">
        <f>Doklady!D7</f>
        <v>d</v>
      </c>
      <c r="B59" s="119" t="str">
        <f>Doklady!H7</f>
        <v>Jankechová Eliška</v>
      </c>
      <c r="C59" s="73">
        <f>IF(A59&lt;&gt;"",INDEX(FP!D:D,Doklady!B$2+(ROW()-53)),"")</f>
        <v>10000</v>
      </c>
      <c r="D59" s="73">
        <f>IF(A59&lt;&gt;"",Doklady!I7-Doklady!J7,"")</f>
        <v>0</v>
      </c>
      <c r="E59" s="73">
        <f>IF(A59&lt;&gt;"",MIN(D59,C59)*Doklady!C7/(1-Doklady!C7),"")</f>
        <v>0</v>
      </c>
      <c r="F59" s="71">
        <f>IF(A59&lt;&gt;"",Doklady!J7,"")</f>
        <v>0</v>
      </c>
      <c r="G59" s="73">
        <f t="shared" si="0"/>
        <v>0</v>
      </c>
      <c r="H59" s="71"/>
      <c r="I59" s="73">
        <f t="shared" si="1"/>
        <v>10000</v>
      </c>
      <c r="J59" s="84" t="str">
        <f t="shared" si="2"/>
        <v/>
      </c>
      <c r="K59" s="84" t="str">
        <f>Doklady!F7</f>
        <v>026 03</v>
      </c>
      <c r="L59" s="84" t="str">
        <f>IF(A59&lt;&gt;"",INDEX(FP!H:H,Doklady!B$2+(ROW()-52)),"")</f>
        <v>B</v>
      </c>
      <c r="M59" s="84" t="str">
        <f t="shared" si="3"/>
        <v>026 03B</v>
      </c>
    </row>
    <row r="60" spans="1:20" ht="12" customHeight="1" x14ac:dyDescent="0.15">
      <c r="A60" s="75" t="str">
        <f>Doklady!D8</f>
        <v>d</v>
      </c>
      <c r="B60" s="119" t="str">
        <f>Doklady!H8</f>
        <v>Kánová Alena</v>
      </c>
      <c r="C60" s="73">
        <f>IF(A60&lt;&gt;"",INDEX(FP!D:D,Doklady!B$2+(ROW()-53)),"")</f>
        <v>16800</v>
      </c>
      <c r="D60" s="73">
        <f>IF(A60&lt;&gt;"",Doklady!I8-Doklady!J8,"")</f>
        <v>0</v>
      </c>
      <c r="E60" s="73">
        <f>IF(A60&lt;&gt;"",MIN(D60,C60)*Doklady!C8/(1-Doklady!C8),"")</f>
        <v>0</v>
      </c>
      <c r="F60" s="71">
        <f>IF(A60&lt;&gt;"",Doklady!J8,"")</f>
        <v>0</v>
      </c>
      <c r="G60" s="73">
        <f t="shared" si="0"/>
        <v>0</v>
      </c>
      <c r="H60" s="71"/>
      <c r="I60" s="73">
        <f t="shared" si="1"/>
        <v>16800</v>
      </c>
      <c r="J60" s="84" t="str">
        <f t="shared" si="2"/>
        <v/>
      </c>
      <c r="K60" s="84" t="str">
        <f>Doklady!F8</f>
        <v>026 03</v>
      </c>
      <c r="L60" s="84" t="str">
        <f>IF(A60&lt;&gt;"",INDEX(FP!H:H,Doklady!B$2+(ROW()-52)),"")</f>
        <v>B</v>
      </c>
      <c r="M60" s="84" t="str">
        <f t="shared" si="3"/>
        <v>026 03B</v>
      </c>
    </row>
    <row r="61" spans="1:20" ht="12" customHeight="1" x14ac:dyDescent="0.15">
      <c r="A61" s="75" t="str">
        <f>Doklady!D9</f>
        <v>d</v>
      </c>
      <c r="B61" s="119" t="str">
        <f>Doklady!H9</f>
        <v>Král Tomáš</v>
      </c>
      <c r="C61" s="73">
        <f>IF(A61&lt;&gt;"",INDEX(FP!D:D,Doklady!B$2+(ROW()-53)),"")</f>
        <v>20000</v>
      </c>
      <c r="D61" s="73">
        <f>IF(A61&lt;&gt;"",Doklady!I9-Doklady!J9,"")</f>
        <v>0</v>
      </c>
      <c r="E61" s="73">
        <f>IF(A61&lt;&gt;"",MIN(D61,C61)*Doklady!C9/(1-Doklady!C9),"")</f>
        <v>0</v>
      </c>
      <c r="F61" s="71">
        <f>IF(A61&lt;&gt;"",Doklady!J9,"")</f>
        <v>0</v>
      </c>
      <c r="G61" s="73">
        <f t="shared" si="0"/>
        <v>0</v>
      </c>
      <c r="H61" s="71"/>
      <c r="I61" s="73">
        <f t="shared" si="1"/>
        <v>20000</v>
      </c>
      <c r="J61" s="84" t="str">
        <f t="shared" si="2"/>
        <v/>
      </c>
      <c r="K61" s="84" t="str">
        <f>Doklady!F9</f>
        <v>026 03</v>
      </c>
      <c r="L61" s="84" t="str">
        <f>IF(A61&lt;&gt;"",INDEX(FP!H:H,Doklady!B$2+(ROW()-52)),"")</f>
        <v>B</v>
      </c>
      <c r="M61" s="84" t="str">
        <f t="shared" si="3"/>
        <v>026 03B</v>
      </c>
    </row>
    <row r="62" spans="1:20" ht="12" customHeight="1" x14ac:dyDescent="0.15">
      <c r="A62" s="75" t="str">
        <f>Doklady!D10</f>
        <v>d</v>
      </c>
      <c r="B62" s="119" t="str">
        <f>Doklady!H10</f>
        <v>Lovaš Peter</v>
      </c>
      <c r="C62" s="73">
        <f>IF(A62&lt;&gt;"",INDEX(FP!D:D,Doklady!B$2+(ROW()-53)),"")</f>
        <v>41200</v>
      </c>
      <c r="D62" s="73">
        <f>IF(A62&lt;&gt;"",Doklady!I10-Doklady!J10,"")</f>
        <v>0</v>
      </c>
      <c r="E62" s="73">
        <f>IF(A62&lt;&gt;"",MIN(D62,C62)*Doklady!C10/(1-Doklady!C10),"")</f>
        <v>0</v>
      </c>
      <c r="F62" s="71">
        <f>IF(A62&lt;&gt;"",Doklady!J10,"")</f>
        <v>0</v>
      </c>
      <c r="G62" s="73">
        <f t="shared" si="0"/>
        <v>0</v>
      </c>
      <c r="H62" s="71"/>
      <c r="I62" s="73">
        <f t="shared" si="1"/>
        <v>41200</v>
      </c>
      <c r="J62" s="84" t="str">
        <f t="shared" si="2"/>
        <v/>
      </c>
      <c r="K62" s="84" t="str">
        <f>Doklady!F10</f>
        <v>026 03</v>
      </c>
      <c r="L62" s="84" t="str">
        <f>IF(A62&lt;&gt;"",INDEX(FP!H:H,Doklady!B$2+(ROW()-52)),"")</f>
        <v>B</v>
      </c>
      <c r="M62" s="84" t="str">
        <f t="shared" si="3"/>
        <v>026 03B</v>
      </c>
    </row>
    <row r="63" spans="1:20" ht="12" customHeight="1" x14ac:dyDescent="0.15">
      <c r="A63" s="75" t="str">
        <f>Doklady!D11</f>
        <v>d</v>
      </c>
      <c r="B63" s="119" t="str">
        <f>Doklady!H11</f>
        <v>Ludrovský Martin</v>
      </c>
      <c r="C63" s="73">
        <f>IF(A63&lt;&gt;"",INDEX(FP!D:D,Doklady!B$2+(ROW()-53)),"")</f>
        <v>15000</v>
      </c>
      <c r="D63" s="73">
        <f>IF(A63&lt;&gt;"",Doklady!I11-Doklady!J11,"")</f>
        <v>0</v>
      </c>
      <c r="E63" s="73">
        <f>IF(A63&lt;&gt;"",MIN(D63,C63)*Doklady!C11/(1-Doklady!C11),"")</f>
        <v>0</v>
      </c>
      <c r="F63" s="71">
        <f>IF(A63&lt;&gt;"",Doklady!J11,"")</f>
        <v>0</v>
      </c>
      <c r="G63" s="73">
        <f t="shared" si="0"/>
        <v>0</v>
      </c>
      <c r="H63" s="71"/>
      <c r="I63" s="73">
        <f t="shared" si="1"/>
        <v>15000</v>
      </c>
      <c r="J63" s="84" t="str">
        <f t="shared" si="2"/>
        <v/>
      </c>
      <c r="K63" s="84" t="str">
        <f>Doklady!F11</f>
        <v>026 03</v>
      </c>
      <c r="L63" s="84" t="str">
        <f>IF(A63&lt;&gt;"",INDEX(FP!H:H,Doklady!B$2+(ROW()-52)),"")</f>
        <v>B</v>
      </c>
      <c r="M63" s="84" t="str">
        <f t="shared" si="3"/>
        <v>026 03B</v>
      </c>
    </row>
    <row r="64" spans="1:20" ht="12" customHeight="1" x14ac:dyDescent="0.15">
      <c r="A64" s="75" t="str">
        <f>Doklady!D12</f>
        <v>d</v>
      </c>
      <c r="B64" s="119" t="str">
        <f>Doklady!H12</f>
        <v>Masaryk Tomáš</v>
      </c>
      <c r="C64" s="73">
        <f>IF(A64&lt;&gt;"",INDEX(FP!D:D,Doklady!B$2+(ROW()-53)),"")</f>
        <v>10000</v>
      </c>
      <c r="D64" s="73">
        <f>IF(A64&lt;&gt;"",Doklady!I12-Doklady!J12,"")</f>
        <v>0</v>
      </c>
      <c r="E64" s="73">
        <f>IF(A64&lt;&gt;"",MIN(D64,C64)*Doklady!C12/(1-Doklady!C12),"")</f>
        <v>0</v>
      </c>
      <c r="F64" s="71">
        <f>IF(A64&lt;&gt;"",Doklady!J12,"")</f>
        <v>0</v>
      </c>
      <c r="G64" s="73">
        <f t="shared" si="0"/>
        <v>0</v>
      </c>
      <c r="H64" s="71"/>
      <c r="I64" s="73">
        <f t="shared" si="1"/>
        <v>10000</v>
      </c>
      <c r="J64" s="84" t="s">
        <v>427</v>
      </c>
      <c r="K64" s="84" t="str">
        <f>Doklady!F12</f>
        <v>026 03</v>
      </c>
      <c r="L64" s="84" t="str">
        <f>IF(A64&lt;&gt;"",INDEX(FP!H:H,Doklady!B$2+(ROW()-52)),"")</f>
        <v>B</v>
      </c>
      <c r="M64" s="84" t="str">
        <f t="shared" si="3"/>
        <v>026 03B</v>
      </c>
    </row>
    <row r="65" spans="1:13" ht="12" customHeight="1" x14ac:dyDescent="0.15">
      <c r="A65" s="75" t="str">
        <f>Doklady!D13</f>
        <v>d</v>
      </c>
      <c r="B65" s="119" t="str">
        <f>Doklady!H13</f>
        <v>Mezík Róbert</v>
      </c>
      <c r="C65" s="73">
        <f>IF(A65&lt;&gt;"",INDEX(FP!D:D,Doklady!B$2+(ROW()-53)),"")</f>
        <v>35000</v>
      </c>
      <c r="D65" s="73">
        <f>IF(A65&lt;&gt;"",Doklady!I13-Doklady!J13,"")</f>
        <v>0</v>
      </c>
      <c r="E65" s="73">
        <f>IF(A65&lt;&gt;"",MIN(D65,C65)*Doklady!C13/(1-Doklady!C13),"")</f>
        <v>0</v>
      </c>
      <c r="F65" s="71">
        <f>IF(A65&lt;&gt;"",Doklady!J13,"")</f>
        <v>0</v>
      </c>
      <c r="G65" s="73">
        <f t="shared" si="0"/>
        <v>0</v>
      </c>
      <c r="H65" s="71"/>
      <c r="I65" s="73">
        <f t="shared" si="1"/>
        <v>35000</v>
      </c>
      <c r="J65" s="84" t="str">
        <f t="shared" si="2"/>
        <v/>
      </c>
      <c r="K65" s="84" t="str">
        <f>Doklady!F13</f>
        <v>026 03</v>
      </c>
      <c r="L65" s="84" t="str">
        <f>IF(A65&lt;&gt;"",INDEX(FP!H:H,Doklady!B$2+(ROW()-52)),"")</f>
        <v>B</v>
      </c>
      <c r="M65" s="84" t="str">
        <f t="shared" si="3"/>
        <v>026 03B</v>
      </c>
    </row>
    <row r="66" spans="1:13" ht="12" customHeight="1" x14ac:dyDescent="0.15">
      <c r="A66" s="75" t="str">
        <f>Doklady!D14</f>
        <v>d</v>
      </c>
      <c r="B66" s="119" t="str">
        <f>Doklady!H14</f>
        <v>Mihálik Peter</v>
      </c>
      <c r="C66" s="73">
        <f>IF(A66&lt;&gt;"",INDEX(FP!D:D,Doklady!B$2+(ROW()-53)),"")</f>
        <v>10000</v>
      </c>
      <c r="D66" s="73">
        <f>IF(A66&lt;&gt;"",Doklady!I14-Doklady!J14,"")</f>
        <v>0</v>
      </c>
      <c r="E66" s="73">
        <f>IF(A66&lt;&gt;"",MIN(D66,C66)*Doklady!C14/(1-Doklady!C14),"")</f>
        <v>0</v>
      </c>
      <c r="F66" s="71">
        <f>IF(A66&lt;&gt;"",Doklady!J14,"")</f>
        <v>0</v>
      </c>
      <c r="G66" s="73">
        <f t="shared" si="0"/>
        <v>0</v>
      </c>
      <c r="H66" s="71"/>
      <c r="I66" s="73">
        <f t="shared" si="1"/>
        <v>10000</v>
      </c>
      <c r="J66" s="84" t="str">
        <f t="shared" si="2"/>
        <v/>
      </c>
      <c r="K66" s="84" t="str">
        <f>Doklady!F14</f>
        <v>026 03</v>
      </c>
      <c r="L66" s="84" t="str">
        <f>IF(A66&lt;&gt;"",INDEX(FP!H:H,Doklady!B$2+(ROW()-52)),"")</f>
        <v>B</v>
      </c>
      <c r="M66" s="84" t="str">
        <f t="shared" si="3"/>
        <v>026 03B</v>
      </c>
    </row>
    <row r="67" spans="1:13" ht="12" customHeight="1" x14ac:dyDescent="0.15">
      <c r="A67" s="75" t="str">
        <f>Doklady!D15</f>
        <v>d</v>
      </c>
      <c r="B67" s="119" t="str">
        <f>Doklady!H15</f>
        <v>Pavlík Marcel</v>
      </c>
      <c r="C67" s="73">
        <f>IF(A67&lt;&gt;"",INDEX(FP!D:D,Doklady!B$2+(ROW()-53)),"")</f>
        <v>25000</v>
      </c>
      <c r="D67" s="73">
        <f>IF(A67&lt;&gt;"",Doklady!I15-Doklady!J15,"")</f>
        <v>0</v>
      </c>
      <c r="E67" s="73">
        <f>IF(A67&lt;&gt;"",MIN(D67,C67)*Doklady!C15/(1-Doklady!C15),"")</f>
        <v>0</v>
      </c>
      <c r="F67" s="71">
        <f>IF(A67&lt;&gt;"",Doklady!J15,"")</f>
        <v>0</v>
      </c>
      <c r="G67" s="73">
        <f t="shared" si="0"/>
        <v>0</v>
      </c>
      <c r="H67" s="71"/>
      <c r="I67" s="73">
        <f t="shared" si="1"/>
        <v>25000</v>
      </c>
      <c r="J67" s="84" t="str">
        <f t="shared" si="2"/>
        <v/>
      </c>
      <c r="K67" s="84" t="str">
        <f>Doklady!F15</f>
        <v>026 03</v>
      </c>
      <c r="L67" s="84" t="str">
        <f>IF(A67&lt;&gt;"",INDEX(FP!H:H,Doklady!B$2+(ROW()-52)),"")</f>
        <v>B</v>
      </c>
      <c r="M67" s="84" t="str">
        <f t="shared" si="3"/>
        <v>026 03B</v>
      </c>
    </row>
    <row r="68" spans="1:13" ht="12" customHeight="1" x14ac:dyDescent="0.15">
      <c r="A68" s="75" t="str">
        <f>Doklady!D16</f>
        <v>d</v>
      </c>
      <c r="B68" s="119" t="str">
        <f>Doklady!H16</f>
        <v>Riapoš Ján</v>
      </c>
      <c r="C68" s="73">
        <f>IF(A68&lt;&gt;"",INDEX(FP!D:D,Doklady!B$2+(ROW()-53)),"")</f>
        <v>41200</v>
      </c>
      <c r="D68" s="73">
        <f>IF(A68&lt;&gt;"",Doklady!I16-Doklady!J16,"")</f>
        <v>0</v>
      </c>
      <c r="E68" s="73">
        <f>IF(A68&lt;&gt;"",MIN(D68,C68)*Doklady!C16/(1-Doklady!C16),"")</f>
        <v>0</v>
      </c>
      <c r="F68" s="71">
        <f>IF(A68&lt;&gt;"",Doklady!J16,"")</f>
        <v>0</v>
      </c>
      <c r="G68" s="73">
        <f t="shared" si="0"/>
        <v>0</v>
      </c>
      <c r="H68" s="71"/>
      <c r="I68" s="73">
        <f t="shared" si="1"/>
        <v>41200</v>
      </c>
      <c r="J68" s="84" t="str">
        <f t="shared" si="2"/>
        <v/>
      </c>
      <c r="K68" s="84" t="str">
        <f>Doklady!F16</f>
        <v>026 03</v>
      </c>
      <c r="L68" s="84" t="str">
        <f>IF(A68&lt;&gt;"",INDEX(FP!H:H,Doklady!B$2+(ROW()-52)),"")</f>
        <v>B</v>
      </c>
      <c r="M68" s="84" t="str">
        <f t="shared" si="3"/>
        <v>026 03B</v>
      </c>
    </row>
    <row r="69" spans="1:13" ht="12" customHeight="1" x14ac:dyDescent="0.15">
      <c r="A69" s="75" t="str">
        <f>Doklady!D17</f>
        <v>d</v>
      </c>
      <c r="B69" s="119" t="str">
        <f>Doklady!H17</f>
        <v>Strehársky Martin</v>
      </c>
      <c r="C69" s="73">
        <f>IF(A69&lt;&gt;"",INDEX(FP!D:D,Doklady!B$2+(ROW()-53)),"")</f>
        <v>10000</v>
      </c>
      <c r="D69" s="73">
        <f>IF(A69&lt;&gt;"",Doklady!I17-Doklady!J17,"")</f>
        <v>0</v>
      </c>
      <c r="E69" s="73">
        <f>IF(A69&lt;&gt;"",MIN(D69,C69)*Doklady!C17/(1-Doklady!C17),"")</f>
        <v>0</v>
      </c>
      <c r="F69" s="71">
        <f>IF(A69&lt;&gt;"",Doklady!J17,"")</f>
        <v>0</v>
      </c>
      <c r="G69" s="73">
        <f t="shared" si="0"/>
        <v>0</v>
      </c>
      <c r="H69" s="71"/>
      <c r="I69" s="73">
        <f t="shared" si="1"/>
        <v>10000</v>
      </c>
      <c r="J69" s="84" t="str">
        <f t="shared" si="2"/>
        <v/>
      </c>
      <c r="K69" s="84" t="str">
        <f>Doklady!F17</f>
        <v>026 03</v>
      </c>
      <c r="L69" s="84" t="str">
        <f>IF(A69&lt;&gt;"",INDEX(FP!H:H,Doklady!B$2+(ROW()-52)),"")</f>
        <v>B</v>
      </c>
      <c r="M69" s="84" t="str">
        <f t="shared" si="3"/>
        <v>026 03B</v>
      </c>
    </row>
    <row r="70" spans="1:13" ht="12" customHeight="1" x14ac:dyDescent="0.15">
      <c r="A70" s="75" t="str">
        <f>Doklady!D18</f>
        <v>d</v>
      </c>
      <c r="B70" s="119" t="str">
        <f>Doklady!H18</f>
        <v>Trávníček Boris</v>
      </c>
      <c r="C70" s="73">
        <f>IF(A70&lt;&gt;"",INDEX(FP!D:D,Doklady!B$2+(ROW()-53)),"")</f>
        <v>22500</v>
      </c>
      <c r="D70" s="73">
        <f>IF(A70&lt;&gt;"",Doklady!I18-Doklady!J18,"")</f>
        <v>0</v>
      </c>
      <c r="E70" s="73">
        <f>IF(A70&lt;&gt;"",MIN(D70,C70)*Doklady!C18/(1-Doklady!C18),"")</f>
        <v>0</v>
      </c>
      <c r="F70" s="71">
        <f>IF(A70&lt;&gt;"",Doklady!J18,"")</f>
        <v>0</v>
      </c>
      <c r="G70" s="73">
        <f t="shared" si="0"/>
        <v>0</v>
      </c>
      <c r="H70" s="71"/>
      <c r="I70" s="73">
        <f t="shared" si="1"/>
        <v>22500</v>
      </c>
      <c r="J70" s="84" t="str">
        <f t="shared" si="2"/>
        <v/>
      </c>
      <c r="K70" s="84" t="str">
        <f>Doklady!F18</f>
        <v>026 03</v>
      </c>
      <c r="L70" s="84" t="str">
        <f>IF(A70&lt;&gt;"",INDEX(FP!H:H,Doklady!B$2+(ROW()-52)),"")</f>
        <v>B</v>
      </c>
      <c r="M70" s="84" t="str">
        <f t="shared" si="3"/>
        <v>026 03B</v>
      </c>
    </row>
    <row r="71" spans="1:13" ht="12" customHeight="1" x14ac:dyDescent="0.15">
      <c r="A71" s="75" t="str">
        <f>Doklady!D19</f>
        <v>d</v>
      </c>
      <c r="B71" s="119" t="str">
        <f>Doklady!H19</f>
        <v>Vladovičová Lucia</v>
      </c>
      <c r="C71" s="73">
        <f>IF(A71&lt;&gt;"",INDEX(FP!D:D,Doklady!B$2+(ROW()-53)),"")</f>
        <v>10000</v>
      </c>
      <c r="D71" s="73">
        <f>IF(A71&lt;&gt;"",Doklady!I19-Doklady!J19,"")</f>
        <v>0</v>
      </c>
      <c r="E71" s="73">
        <f>IF(A71&lt;&gt;"",MIN(D71,C71)*Doklady!C19/(1-Doklady!C19),"")</f>
        <v>0</v>
      </c>
      <c r="F71" s="71">
        <f>IF(A71&lt;&gt;"",Doklady!J19,"")</f>
        <v>0</v>
      </c>
      <c r="G71" s="73">
        <f t="shared" si="0"/>
        <v>0</v>
      </c>
      <c r="H71" s="71"/>
      <c r="I71" s="73">
        <f t="shared" si="1"/>
        <v>10000</v>
      </c>
      <c r="J71" s="84" t="str">
        <f t="shared" si="2"/>
        <v/>
      </c>
      <c r="K71" s="84" t="str">
        <f>Doklady!F19</f>
        <v>026 03</v>
      </c>
      <c r="L71" s="84" t="str">
        <f>IF(A71&lt;&gt;"",INDEX(FP!H:H,Doklady!B$2+(ROW()-52)),"")</f>
        <v>B</v>
      </c>
      <c r="M71" s="84" t="str">
        <f t="shared" si="3"/>
        <v>026 03B</v>
      </c>
    </row>
    <row r="72" spans="1:13" ht="12" x14ac:dyDescent="0.15">
      <c r="A72" s="75" t="str">
        <f>Doklady!D20</f>
        <v>d</v>
      </c>
      <c r="B72" s="119" t="str">
        <f>Doklady!H20</f>
        <v>Vozárová Kristína</v>
      </c>
      <c r="C72" s="73">
        <f>IF(A72&lt;&gt;"",INDEX(FP!D:D,Doklady!B$2+(ROW()-53)),"")</f>
        <v>10000</v>
      </c>
      <c r="D72" s="73">
        <f>IF(A72&lt;&gt;"",Doklady!I20-Doklady!J20,"")</f>
        <v>0</v>
      </c>
      <c r="E72" s="73">
        <f>IF(A72&lt;&gt;"",MIN(D72,C72)*Doklady!C20/(1-Doklady!C20),"")</f>
        <v>0</v>
      </c>
      <c r="F72" s="71">
        <f>IF(A72&lt;&gt;"",Doklady!J20,"")</f>
        <v>0</v>
      </c>
      <c r="G72" s="73">
        <f t="shared" si="0"/>
        <v>0</v>
      </c>
      <c r="H72" s="71"/>
      <c r="I72" s="73">
        <f t="shared" si="1"/>
        <v>10000</v>
      </c>
      <c r="J72" s="84" t="str">
        <f t="shared" si="2"/>
        <v/>
      </c>
      <c r="K72" s="84" t="str">
        <f>Doklady!F20</f>
        <v>026 03</v>
      </c>
      <c r="L72" s="84" t="str">
        <f>IF(A72&lt;&gt;"",INDEX(FP!H:H,Doklady!B$2+(ROW()-52)),"")</f>
        <v>B</v>
      </c>
      <c r="M72" s="84" t="str">
        <f t="shared" si="3"/>
        <v>026 03B</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363</v>
      </c>
      <c r="C130" s="228">
        <f>SUM(C53:C129)</f>
        <v>889011</v>
      </c>
      <c r="D130" s="228">
        <f t="shared" ref="D130:I130" si="9">SUM(D53:D129)</f>
        <v>3810</v>
      </c>
      <c r="E130" s="228">
        <f t="shared" si="9"/>
        <v>0</v>
      </c>
      <c r="F130" s="228">
        <f t="shared" si="9"/>
        <v>0</v>
      </c>
      <c r="G130" s="228">
        <f t="shared" si="9"/>
        <v>3810</v>
      </c>
      <c r="H130" s="228">
        <f t="shared" si="9"/>
        <v>0</v>
      </c>
      <c r="I130" s="228">
        <f t="shared" si="9"/>
        <v>885201</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432</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433</v>
      </c>
      <c r="B139" s="9"/>
      <c r="C139" s="74"/>
      <c r="D139" s="74"/>
      <c r="E139" s="74"/>
      <c r="F139" s="74"/>
      <c r="G139" s="74"/>
      <c r="H139" s="74"/>
      <c r="I139" s="74"/>
      <c r="J139" s="85"/>
    </row>
    <row r="140" spans="1:26" ht="13" x14ac:dyDescent="0.15">
      <c r="A140" s="9"/>
      <c r="B140" s="281"/>
      <c r="C140" s="229"/>
      <c r="D140" s="348"/>
      <c r="E140" s="348"/>
      <c r="F140" s="348"/>
      <c r="G140" s="348"/>
      <c r="H140" s="348"/>
      <c r="I140" s="348"/>
      <c r="J140" s="85"/>
    </row>
    <row r="141" spans="1:26" ht="68.25" customHeight="1" x14ac:dyDescent="0.15">
      <c r="A141" s="9"/>
      <c r="B141" s="283" t="s">
        <v>434</v>
      </c>
      <c r="C141" s="214"/>
      <c r="D141" s="328" t="s">
        <v>435</v>
      </c>
      <c r="E141" s="328"/>
      <c r="F141" s="328"/>
      <c r="G141" s="328"/>
      <c r="H141" s="328"/>
      <c r="I141" s="328"/>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00" zoomScaleNormal="100" workbookViewId="0">
      <selection activeCell="A100" sqref="A100:H100"/>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5.5" style="91" customWidth="1"/>
    <col min="12" max="25" width="5.5" style="90" customWidth="1"/>
    <col min="26" max="16384" width="11.5" style="8"/>
  </cols>
  <sheetData>
    <row r="1" spans="1:25" s="6" customFormat="1" ht="12" hidden="1" thickBot="1" x14ac:dyDescent="0.2">
      <c r="A1" s="231" t="str">
        <f>IF(ROW()&lt;=B$3,INDEX(FP!F:F,B$2+ROW()-1)&amp;" - "&amp;INDEX(FP!C:C,B$2+ROW()-1),"")</f>
        <v>c - zabezpečenie činnosti a úloh SZTPŠ v roku 2025</v>
      </c>
      <c r="B1" s="232" t="str">
        <f>INDEX(Adr!A:A,B102+1)</f>
        <v>22665234</v>
      </c>
      <c r="C1" s="233">
        <f>IF(ROW()&lt;=B$3,INDEX(FP!E:E,B$2+ROW()-1),"")</f>
        <v>0</v>
      </c>
      <c r="D1" s="234" t="str">
        <f>IF(ROW()&lt;=B$3,INDEX(FP!F:F,B$2+ROW()-1),"")</f>
        <v>c</v>
      </c>
      <c r="E1" s="234"/>
      <c r="F1" s="234" t="str">
        <f>IF(ROW()&lt;=B$3,INDEX(FP!G:G,B$2+ROW()-1),"")</f>
        <v>026 03</v>
      </c>
      <c r="G1" s="234"/>
      <c r="H1" s="235" t="str">
        <f>IF(ROW()&lt;=B$3,INDEX(FP!C:C,B$2+ROW()-1),"")</f>
        <v>zabezpečenie činnosti a úloh SZTPŠ v roku 2025</v>
      </c>
      <c r="I1" s="236">
        <f t="shared" ref="I1:I6" si="0">IF(ROW()&lt;=B$3,SUMIF(A$107:A$10042,A1,I$107:I$10042),"")</f>
        <v>3810</v>
      </c>
      <c r="J1" s="236">
        <f t="shared" ref="J1:J32" si="1">IF(ROW()&lt;=B$3,SUMIFS(I$103:I$50042,A$103:A$50042,K1,J$103:J$50042,L1),"")</f>
        <v>0</v>
      </c>
      <c r="K1" s="110" t="str">
        <f>$A1</f>
        <v>c - zabezpečenie činnosti a úloh SZTPŠ v roku 2025</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d - Csejtey Richard</v>
      </c>
      <c r="B2" s="237">
        <f>MATCH(B1,FP!A:A,0)</f>
        <v>279</v>
      </c>
      <c r="C2" s="233">
        <f>IF(ROW()&lt;=B$3,INDEX(FP!E:E,B$2+ROW()-1),"")</f>
        <v>0</v>
      </c>
      <c r="D2" s="234" t="str">
        <f>IF(ROW()&lt;=B$3,INDEX(FP!F:F,B$2+ROW()-1),"")</f>
        <v>d</v>
      </c>
      <c r="E2" s="234"/>
      <c r="F2" s="234" t="str">
        <f>IF(ROW()&lt;=B$3,INDEX(FP!G:G,B$2+ROW()-1),"")</f>
        <v>026 03</v>
      </c>
      <c r="G2" s="234"/>
      <c r="H2" s="235" t="str">
        <f>IF(ROW()&lt;=B$3,INDEX(FP!C:C,B$2+ROW()-1),"")</f>
        <v>Csejtey Richard</v>
      </c>
      <c r="I2" s="236">
        <f t="shared" si="0"/>
        <v>0</v>
      </c>
      <c r="J2" s="236">
        <f t="shared" si="1"/>
        <v>0</v>
      </c>
      <c r="K2" s="110" t="str">
        <f>$A2</f>
        <v>d - Csejtey Richard</v>
      </c>
      <c r="L2" s="101">
        <v>99</v>
      </c>
      <c r="M2" s="97" t="s">
        <v>371</v>
      </c>
      <c r="N2" s="98" t="s">
        <v>415</v>
      </c>
      <c r="O2" s="88"/>
      <c r="P2" s="88"/>
      <c r="Q2" s="88"/>
      <c r="R2" s="88"/>
      <c r="S2" s="88"/>
      <c r="T2" s="88"/>
      <c r="U2" s="88"/>
      <c r="V2" s="88"/>
      <c r="W2" s="88"/>
      <c r="X2" s="88"/>
      <c r="Y2" s="88"/>
    </row>
    <row r="3" spans="1:25" s="6" customFormat="1" ht="12" hidden="1" thickBot="1" x14ac:dyDescent="0.2">
      <c r="A3" s="231" t="str">
        <f>IF(ROW()&lt;=B$3,INDEX(FP!F:F,B$2+ROW()-1)&amp;" - "&amp;INDEX(FP!C:C,B$2+ROW()-1),"")</f>
        <v>d - Dorič Martin</v>
      </c>
      <c r="B3" s="238">
        <f>COUNTIF(FP!A:A,Doklady!B1)</f>
        <v>20</v>
      </c>
      <c r="C3" s="233">
        <f>IF(ROW()&lt;=B$3,INDEX(FP!E:E,B$2+ROW()-1),"")</f>
        <v>0</v>
      </c>
      <c r="D3" s="234" t="str">
        <f>IF(ROW()&lt;=B$3,INDEX(FP!F:F,B$2+ROW()-1),"")</f>
        <v>d</v>
      </c>
      <c r="E3" s="234"/>
      <c r="F3" s="234" t="str">
        <f>IF(ROW()&lt;=B$3,INDEX(FP!G:G,B$2+ROW()-1),"")</f>
        <v>026 03</v>
      </c>
      <c r="G3" s="234"/>
      <c r="H3" s="235" t="str">
        <f>IF(ROW()&lt;=B$3,INDEX(FP!C:C,B$2+ROW()-1),"")</f>
        <v>Dorič Martin</v>
      </c>
      <c r="I3" s="236">
        <f t="shared" si="0"/>
        <v>0</v>
      </c>
      <c r="J3" s="236">
        <f t="shared" si="1"/>
        <v>0</v>
      </c>
      <c r="K3" s="110" t="str">
        <f t="shared" ref="K3:K66" si="2">$A3</f>
        <v>d - Dorič Martin</v>
      </c>
      <c r="L3" s="101">
        <v>99</v>
      </c>
      <c r="M3" s="99" t="str">
        <f>$A2</f>
        <v>d - Csejtey Richard</v>
      </c>
      <c r="N3" s="100">
        <v>99</v>
      </c>
      <c r="O3" s="88"/>
      <c r="P3" s="88"/>
      <c r="Q3" s="88"/>
      <c r="R3" s="88"/>
      <c r="S3" s="88"/>
      <c r="T3" s="88"/>
      <c r="U3" s="88"/>
      <c r="V3" s="88"/>
      <c r="W3" s="88"/>
      <c r="X3" s="88"/>
      <c r="Y3" s="88"/>
    </row>
    <row r="4" spans="1:25" s="6" customFormat="1" ht="12" hidden="1" thickBot="1" x14ac:dyDescent="0.2">
      <c r="A4" s="235" t="str">
        <f>IF(ROW()&lt;=B$3,INDEX(FP!F:F,B$2+ROW()-1)&amp;" - "&amp;INDEX(FP!C:C,B$2+ROW()-1),"")</f>
        <v>d - družstvo - boccia (BC1-2)</v>
      </c>
      <c r="B4" s="239"/>
      <c r="C4" s="240">
        <f>IF(ROW()&lt;=B$3,INDEX(FP!E:E,B$2+ROW()-1),"")</f>
        <v>0</v>
      </c>
      <c r="D4" s="234" t="str">
        <f>IF(ROW()&lt;=B$3,INDEX(FP!F:F,B$2+ROW()-1),"")</f>
        <v>d</v>
      </c>
      <c r="E4" s="234"/>
      <c r="F4" s="234" t="str">
        <f>IF(ROW()&lt;=B$3,INDEX(FP!G:G,B$2+ROW()-1),"")</f>
        <v>026 03</v>
      </c>
      <c r="G4" s="234"/>
      <c r="H4" s="235" t="str">
        <f>IF(ROW()&lt;=B$3,INDEX(FP!C:C,B$2+ROW()-1),"")</f>
        <v>družstvo - boccia (BC1-2)</v>
      </c>
      <c r="I4" s="236">
        <f t="shared" si="0"/>
        <v>0</v>
      </c>
      <c r="J4" s="236">
        <f t="shared" si="1"/>
        <v>0</v>
      </c>
      <c r="K4" s="110" t="str">
        <f t="shared" si="2"/>
        <v>d - družstvo - boccia (BC1-2)</v>
      </c>
      <c r="L4" s="101">
        <v>99</v>
      </c>
      <c r="M4" s="102" t="s">
        <v>371</v>
      </c>
      <c r="N4" s="103" t="s">
        <v>415</v>
      </c>
    </row>
    <row r="5" spans="1:25" s="6" customFormat="1" ht="12" hidden="1" thickBot="1" x14ac:dyDescent="0.2">
      <c r="A5" s="235" t="str">
        <f>IF(ROW()&lt;=B$3,INDEX(FP!F:F,B$2+ROW()-1)&amp;" - "&amp;INDEX(FP!C:C,B$2+ROW()-1),"")</f>
        <v>d - družstvo - boccia (BC4)</v>
      </c>
      <c r="B5" s="235"/>
      <c r="C5" s="240">
        <f>IF(ROW()&lt;=B$3,INDEX(FP!E:E,B$2+ROW()-1),"")</f>
        <v>0</v>
      </c>
      <c r="D5" s="234" t="str">
        <f>IF(ROW()&lt;=B$3,INDEX(FP!F:F,B$2+ROW()-1),"")</f>
        <v>d</v>
      </c>
      <c r="E5" s="234"/>
      <c r="F5" s="234" t="str">
        <f>IF(ROW()&lt;=B$3,INDEX(FP!G:G,B$2+ROW()-1),"")</f>
        <v>026 03</v>
      </c>
      <c r="G5" s="234"/>
      <c r="H5" s="235" t="str">
        <f>IF(ROW()&lt;=B$3,INDEX(FP!C:C,B$2+ROW()-1),"")</f>
        <v>družstvo - boccia (BC4)</v>
      </c>
      <c r="I5" s="236">
        <f t="shared" si="0"/>
        <v>0</v>
      </c>
      <c r="J5" s="236">
        <f t="shared" si="1"/>
        <v>0</v>
      </c>
      <c r="K5" s="110" t="str">
        <f t="shared" si="2"/>
        <v>d - družstvo - boccia (BC4)</v>
      </c>
      <c r="L5" s="101">
        <v>99</v>
      </c>
      <c r="M5" s="104" t="str">
        <f>$A4</f>
        <v>d - družstvo - boccia (BC1-2)</v>
      </c>
      <c r="N5" s="105">
        <v>99</v>
      </c>
      <c r="O5" s="88"/>
      <c r="P5" s="88"/>
      <c r="Q5" s="88"/>
      <c r="R5" s="88"/>
      <c r="S5" s="88"/>
      <c r="T5" s="88"/>
      <c r="U5" s="88"/>
      <c r="V5" s="88"/>
      <c r="W5" s="88"/>
      <c r="X5" s="88"/>
      <c r="Y5" s="88"/>
    </row>
    <row r="6" spans="1:25" s="6" customFormat="1" ht="12" hidden="1" thickBot="1" x14ac:dyDescent="0.2">
      <c r="A6" s="235" t="str">
        <f>IF(ROW()&lt;=B$3,INDEX(FP!F:F,B$2+ROW()-1)&amp;" - "&amp;INDEX(FP!C:C,B$2+ROW()-1),"")</f>
        <v>d - Ivan Dávid</v>
      </c>
      <c r="B6" s="235"/>
      <c r="C6" s="240">
        <f>IF(ROW()&lt;=B$3,INDEX(FP!E:E,B$2+ROW()-1),"")</f>
        <v>0</v>
      </c>
      <c r="D6" s="234" t="str">
        <f>IF(ROW()&lt;=B$3,INDEX(FP!F:F,B$2+ROW()-1),"")</f>
        <v>d</v>
      </c>
      <c r="E6" s="234"/>
      <c r="F6" s="234" t="str">
        <f>IF(ROW()&lt;=B$3,INDEX(FP!G:G,B$2+ROW()-1),"")</f>
        <v>026 03</v>
      </c>
      <c r="G6" s="234"/>
      <c r="H6" s="235" t="str">
        <f>IF(ROW()&lt;=B$3,INDEX(FP!C:C,B$2+ROW()-1),"")</f>
        <v>Ivan Dávid</v>
      </c>
      <c r="I6" s="236">
        <f t="shared" si="0"/>
        <v>0</v>
      </c>
      <c r="J6" s="236">
        <f t="shared" si="1"/>
        <v>0</v>
      </c>
      <c r="K6" s="110" t="str">
        <f t="shared" si="2"/>
        <v>d - Ivan Dávid</v>
      </c>
      <c r="L6" s="101">
        <v>99</v>
      </c>
      <c r="M6" s="97" t="s">
        <v>371</v>
      </c>
      <c r="N6" s="98" t="s">
        <v>415</v>
      </c>
      <c r="Q6" s="88"/>
      <c r="R6" s="88"/>
      <c r="S6" s="88"/>
      <c r="T6" s="88"/>
      <c r="U6" s="88"/>
      <c r="V6" s="88"/>
      <c r="W6" s="88"/>
      <c r="X6" s="88"/>
      <c r="Y6" s="88"/>
    </row>
    <row r="7" spans="1:25" s="6" customFormat="1" ht="12" hidden="1" thickBot="1" x14ac:dyDescent="0.2">
      <c r="A7" s="235" t="str">
        <f>IF(ROW()&lt;=B$3,INDEX(FP!F:F,B$2+ROW()-1)&amp;" - "&amp;INDEX(FP!C:C,B$2+ROW()-1),"")</f>
        <v>d - Jankechová Eliška</v>
      </c>
      <c r="B7" s="235"/>
      <c r="C7" s="240">
        <f>IF(ROW()&lt;=B$3,INDEX(FP!E:E,B$2+ROW()-1),"")</f>
        <v>0</v>
      </c>
      <c r="D7" s="234" t="str">
        <f>IF(ROW()&lt;=B$3,INDEX(FP!F:F,B$2+ROW()-1),"")</f>
        <v>d</v>
      </c>
      <c r="E7" s="234"/>
      <c r="F7" s="234" t="str">
        <f>IF(ROW()&lt;=B$3,INDEX(FP!G:G,B$2+ROW()-1),"")</f>
        <v>026 03</v>
      </c>
      <c r="G7" s="234"/>
      <c r="H7" s="235" t="str">
        <f>IF(ROW()&lt;=B$3,INDEX(FP!C:C,B$2+ROW()-1),"")</f>
        <v>Jankechová Eliška</v>
      </c>
      <c r="I7" s="236">
        <f t="shared" ref="I7:I70" si="3">IF(ROW()&lt;=B$3,SUMIF(A$107:A$10042,A7,I$107:I$10042),"")</f>
        <v>0</v>
      </c>
      <c r="J7" s="236">
        <f t="shared" si="1"/>
        <v>0</v>
      </c>
      <c r="K7" s="110" t="str">
        <f t="shared" si="2"/>
        <v>d - Jankechová Eliška</v>
      </c>
      <c r="L7" s="101">
        <v>99</v>
      </c>
      <c r="M7" s="99" t="str">
        <f>$A6</f>
        <v>d - Ivan Dávid</v>
      </c>
      <c r="N7" s="100">
        <v>99</v>
      </c>
      <c r="S7" s="88"/>
      <c r="T7" s="88"/>
      <c r="U7" s="88"/>
      <c r="V7" s="88"/>
      <c r="W7" s="88"/>
      <c r="X7" s="88"/>
      <c r="Y7" s="88"/>
    </row>
    <row r="8" spans="1:25" s="6" customFormat="1" ht="12" hidden="1" thickBot="1" x14ac:dyDescent="0.2">
      <c r="A8" s="235" t="str">
        <f>IF(ROW()&lt;=B$3,INDEX(FP!F:F,B$2+ROW()-1)&amp;" - "&amp;INDEX(FP!C:C,B$2+ROW()-1),"")</f>
        <v>d - Kánová Alena</v>
      </c>
      <c r="B8" s="235"/>
      <c r="C8" s="240">
        <f>IF(ROW()&lt;=B$3,INDEX(FP!E:E,B$2+ROW()-1),"")</f>
        <v>0</v>
      </c>
      <c r="D8" s="234" t="str">
        <f>IF(ROW()&lt;=B$3,INDEX(FP!F:F,B$2+ROW()-1),"")</f>
        <v>d</v>
      </c>
      <c r="E8" s="234"/>
      <c r="F8" s="234" t="str">
        <f>IF(ROW()&lt;=B$3,INDEX(FP!G:G,B$2+ROW()-1),"")</f>
        <v>026 03</v>
      </c>
      <c r="G8" s="234"/>
      <c r="H8" s="235" t="str">
        <f>IF(ROW()&lt;=B$3,INDEX(FP!C:C,B$2+ROW()-1),"")</f>
        <v>Kánová Alena</v>
      </c>
      <c r="I8" s="236">
        <f t="shared" si="3"/>
        <v>0</v>
      </c>
      <c r="J8" s="236">
        <f t="shared" si="1"/>
        <v>0</v>
      </c>
      <c r="K8" s="110" t="str">
        <f t="shared" si="2"/>
        <v>d - Kánová Alena</v>
      </c>
      <c r="L8" s="101">
        <v>99</v>
      </c>
      <c r="M8" s="102" t="s">
        <v>371</v>
      </c>
      <c r="N8" s="103" t="s">
        <v>415</v>
      </c>
      <c r="O8" s="88"/>
      <c r="P8" s="88"/>
      <c r="U8" s="88"/>
      <c r="V8" s="88"/>
      <c r="W8" s="88"/>
      <c r="X8" s="88"/>
      <c r="Y8" s="88"/>
    </row>
    <row r="9" spans="1:25" s="6" customFormat="1" ht="12" hidden="1" thickBot="1" x14ac:dyDescent="0.2">
      <c r="A9" s="235" t="str">
        <f>IF(ROW()&lt;=B$3,INDEX(FP!F:F,B$2+ROW()-1)&amp;" - "&amp;INDEX(FP!C:C,B$2+ROW()-1),"")</f>
        <v>d - Král Tomáš</v>
      </c>
      <c r="B9" s="235"/>
      <c r="C9" s="240">
        <f>IF(ROW()&lt;=B$3,INDEX(FP!E:E,B$2+ROW()-1),"")</f>
        <v>0</v>
      </c>
      <c r="D9" s="234" t="str">
        <f>IF(ROW()&lt;=B$3,INDEX(FP!F:F,B$2+ROW()-1),"")</f>
        <v>d</v>
      </c>
      <c r="E9" s="234"/>
      <c r="F9" s="234" t="str">
        <f>IF(ROW()&lt;=B$3,INDEX(FP!G:G,B$2+ROW()-1),"")</f>
        <v>026 03</v>
      </c>
      <c r="G9" s="234"/>
      <c r="H9" s="235" t="str">
        <f>IF(ROW()&lt;=B$3,INDEX(FP!C:C,B$2+ROW()-1),"")</f>
        <v>Král Tomáš</v>
      </c>
      <c r="I9" s="236">
        <f t="shared" si="3"/>
        <v>0</v>
      </c>
      <c r="J9" s="236">
        <f t="shared" si="1"/>
        <v>0</v>
      </c>
      <c r="K9" s="110" t="str">
        <f t="shared" si="2"/>
        <v>d - Král Tomáš</v>
      </c>
      <c r="L9" s="101">
        <v>99</v>
      </c>
      <c r="M9" s="108" t="str">
        <f>$A8</f>
        <v>d - Kánová Alena</v>
      </c>
      <c r="N9" s="109">
        <v>99</v>
      </c>
      <c r="O9" s="88"/>
      <c r="P9" s="88"/>
      <c r="Q9" s="88"/>
      <c r="R9" s="88"/>
      <c r="W9" s="88"/>
      <c r="X9" s="88"/>
      <c r="Y9" s="88"/>
    </row>
    <row r="10" spans="1:25" s="6" customFormat="1" ht="12" hidden="1" thickBot="1" x14ac:dyDescent="0.2">
      <c r="A10" s="235" t="str">
        <f>IF(ROW()&lt;=B$3,INDEX(FP!F:F,B$2+ROW()-1)&amp;" - "&amp;INDEX(FP!C:C,B$2+ROW()-1),"")</f>
        <v>d - Lovaš Peter</v>
      </c>
      <c r="B10" s="235"/>
      <c r="C10" s="240">
        <f>IF(ROW()&lt;=B$3,INDEX(FP!E:E,B$2+ROW()-1),"")</f>
        <v>0</v>
      </c>
      <c r="D10" s="234" t="str">
        <f>IF(ROW()&lt;=B$3,INDEX(FP!F:F,B$2+ROW()-1),"")</f>
        <v>d</v>
      </c>
      <c r="E10" s="234"/>
      <c r="F10" s="234" t="str">
        <f>IF(ROW()&lt;=B$3,INDEX(FP!G:G,B$2+ROW()-1),"")</f>
        <v>026 03</v>
      </c>
      <c r="G10" s="234"/>
      <c r="H10" s="235" t="str">
        <f>IF(ROW()&lt;=B$3,INDEX(FP!C:C,B$2+ROW()-1),"")</f>
        <v>Lovaš Peter</v>
      </c>
      <c r="I10" s="236">
        <f t="shared" si="3"/>
        <v>0</v>
      </c>
      <c r="J10" s="236">
        <f t="shared" si="1"/>
        <v>0</v>
      </c>
      <c r="K10" s="110" t="str">
        <f t="shared" si="2"/>
        <v>d - Lovaš Peter</v>
      </c>
      <c r="L10" s="101">
        <v>99</v>
      </c>
      <c r="M10" s="97" t="s">
        <v>371</v>
      </c>
      <c r="N10" s="98" t="s">
        <v>415</v>
      </c>
      <c r="O10" s="88"/>
      <c r="P10" s="88"/>
      <c r="Q10" s="88"/>
      <c r="R10" s="88"/>
      <c r="S10" s="88"/>
      <c r="T10" s="88"/>
      <c r="Y10" s="88"/>
    </row>
    <row r="11" spans="1:25" s="6" customFormat="1" ht="12" hidden="1" thickBot="1" x14ac:dyDescent="0.2">
      <c r="A11" s="235" t="str">
        <f>IF(ROW()&lt;=B$3,INDEX(FP!F:F,B$2+ROW()-1)&amp;" - "&amp;INDEX(FP!C:C,B$2+ROW()-1),"")</f>
        <v>d - Ludrovský Martin</v>
      </c>
      <c r="B11" s="235"/>
      <c r="C11" s="240">
        <f>IF(ROW()&lt;=B$3,INDEX(FP!E:E,B$2+ROW()-1),"")</f>
        <v>0</v>
      </c>
      <c r="D11" s="234" t="str">
        <f>IF(ROW()&lt;=B$3,INDEX(FP!F:F,B$2+ROW()-1),"")</f>
        <v>d</v>
      </c>
      <c r="E11" s="234"/>
      <c r="F11" s="234" t="str">
        <f>IF(ROW()&lt;=B$3,INDEX(FP!G:G,B$2+ROW()-1),"")</f>
        <v>026 03</v>
      </c>
      <c r="G11" s="234"/>
      <c r="H11" s="235" t="str">
        <f>IF(ROW()&lt;=B$3,INDEX(FP!C:C,B$2+ROW()-1),"")</f>
        <v>Ludrovský Martin</v>
      </c>
      <c r="I11" s="236">
        <f t="shared" si="3"/>
        <v>0</v>
      </c>
      <c r="J11" s="236">
        <f t="shared" si="1"/>
        <v>0</v>
      </c>
      <c r="K11" s="110" t="str">
        <f t="shared" si="2"/>
        <v>d - Ludrovský Martin</v>
      </c>
      <c r="L11" s="101">
        <v>99</v>
      </c>
      <c r="M11" s="99" t="str">
        <f>$A10</f>
        <v>d - Lovaš Peter</v>
      </c>
      <c r="N11" s="100">
        <v>99</v>
      </c>
      <c r="O11" s="88"/>
      <c r="P11" s="88"/>
      <c r="Q11" s="88"/>
      <c r="R11" s="88"/>
      <c r="S11" s="88"/>
      <c r="T11" s="88"/>
      <c r="Y11" s="88"/>
    </row>
    <row r="12" spans="1:25" s="6" customFormat="1" ht="12" hidden="1" thickBot="1" x14ac:dyDescent="0.2">
      <c r="A12" s="235" t="str">
        <f>IF(ROW()&lt;=B$3,INDEX(FP!F:F,B$2+ROW()-1)&amp;" - "&amp;INDEX(FP!C:C,B$2+ROW()-1),"")</f>
        <v>d - Masaryk Tomáš</v>
      </c>
      <c r="B12" s="235"/>
      <c r="C12" s="240">
        <f>IF(ROW()&lt;=B$3,INDEX(FP!E:E,B$2+ROW()-1),"")</f>
        <v>0</v>
      </c>
      <c r="D12" s="234" t="str">
        <f>IF(ROW()&lt;=B$3,INDEX(FP!F:F,B$2+ROW()-1),"")</f>
        <v>d</v>
      </c>
      <c r="E12" s="234"/>
      <c r="F12" s="234" t="str">
        <f>IF(ROW()&lt;=B$3,INDEX(FP!G:G,B$2+ROW()-1),"")</f>
        <v>026 03</v>
      </c>
      <c r="G12" s="234"/>
      <c r="H12" s="235" t="str">
        <f>IF(ROW()&lt;=B$3,INDEX(FP!C:C,B$2+ROW()-1),"")</f>
        <v>Masaryk Tomáš</v>
      </c>
      <c r="I12" s="236">
        <f t="shared" si="3"/>
        <v>0</v>
      </c>
      <c r="J12" s="236">
        <f t="shared" si="1"/>
        <v>0</v>
      </c>
      <c r="K12" s="110" t="str">
        <f t="shared" si="2"/>
        <v>d - Masaryk Tomáš</v>
      </c>
      <c r="L12" s="101">
        <v>99</v>
      </c>
      <c r="M12" s="102" t="s">
        <v>371</v>
      </c>
      <c r="N12" s="103" t="s">
        <v>415</v>
      </c>
      <c r="O12" s="88"/>
      <c r="P12" s="88"/>
      <c r="Q12" s="88"/>
      <c r="R12" s="88"/>
      <c r="W12" s="88"/>
      <c r="X12" s="88"/>
    </row>
    <row r="13" spans="1:25" s="6" customFormat="1" ht="12" hidden="1" thickBot="1" x14ac:dyDescent="0.2">
      <c r="A13" s="235" t="str">
        <f>IF(ROW()&lt;=B$3,INDEX(FP!F:F,B$2+ROW()-1)&amp;" - "&amp;INDEX(FP!C:C,B$2+ROW()-1),"")</f>
        <v>d - Mezík Róbert</v>
      </c>
      <c r="B13" s="235"/>
      <c r="C13" s="240">
        <f>IF(ROW()&lt;=B$3,INDEX(FP!E:E,B$2+ROW()-1),"")</f>
        <v>0</v>
      </c>
      <c r="D13" s="234" t="str">
        <f>IF(ROW()&lt;=B$3,INDEX(FP!F:F,B$2+ROW()-1),"")</f>
        <v>d</v>
      </c>
      <c r="E13" s="234"/>
      <c r="F13" s="234" t="str">
        <f>IF(ROW()&lt;=B$3,INDEX(FP!G:G,B$2+ROW()-1),"")</f>
        <v>026 03</v>
      </c>
      <c r="G13" s="234"/>
      <c r="H13" s="235" t="str">
        <f>IF(ROW()&lt;=B$3,INDEX(FP!C:C,B$2+ROW()-1),"")</f>
        <v>Mezík Róbert</v>
      </c>
      <c r="I13" s="236">
        <f t="shared" si="3"/>
        <v>0</v>
      </c>
      <c r="J13" s="236">
        <f t="shared" si="1"/>
        <v>0</v>
      </c>
      <c r="K13" s="110" t="str">
        <f t="shared" si="2"/>
        <v>d - Mezík Róbert</v>
      </c>
      <c r="L13" s="101">
        <v>99</v>
      </c>
      <c r="M13" s="104" t="str">
        <f>$A12</f>
        <v>d - Masaryk Tomáš</v>
      </c>
      <c r="N13" s="105">
        <v>99</v>
      </c>
      <c r="O13" s="88"/>
      <c r="P13" s="88"/>
      <c r="U13" s="88"/>
      <c r="V13" s="88"/>
      <c r="W13" s="88"/>
      <c r="X13" s="88"/>
      <c r="Y13" s="88"/>
    </row>
    <row r="14" spans="1:25" s="6" customFormat="1" ht="12" hidden="1" thickBot="1" x14ac:dyDescent="0.2">
      <c r="A14" s="235" t="str">
        <f>IF(ROW()&lt;=B$3,INDEX(FP!F:F,B$2+ROW()-1)&amp;" - "&amp;INDEX(FP!C:C,B$2+ROW()-1),"")</f>
        <v>d - Mihálik Peter</v>
      </c>
      <c r="B14" s="235"/>
      <c r="C14" s="240">
        <f>IF(ROW()&lt;=B$3,INDEX(FP!E:E,B$2+ROW()-1),"")</f>
        <v>0</v>
      </c>
      <c r="D14" s="234" t="str">
        <f>IF(ROW()&lt;=B$3,INDEX(FP!F:F,B$2+ROW()-1),"")</f>
        <v>d</v>
      </c>
      <c r="E14" s="234"/>
      <c r="F14" s="234" t="str">
        <f>IF(ROW()&lt;=B$3,INDEX(FP!G:G,B$2+ROW()-1),"")</f>
        <v>026 03</v>
      </c>
      <c r="G14" s="234"/>
      <c r="H14" s="235" t="str">
        <f>IF(ROW()&lt;=B$3,INDEX(FP!C:C,B$2+ROW()-1),"")</f>
        <v>Mihálik Peter</v>
      </c>
      <c r="I14" s="236">
        <f t="shared" si="3"/>
        <v>0</v>
      </c>
      <c r="J14" s="236">
        <f t="shared" si="1"/>
        <v>0</v>
      </c>
      <c r="K14" s="110" t="str">
        <f t="shared" si="2"/>
        <v>d - Mihálik Peter</v>
      </c>
      <c r="L14" s="101">
        <v>99</v>
      </c>
      <c r="M14" s="97" t="s">
        <v>371</v>
      </c>
      <c r="N14" s="98" t="s">
        <v>415</v>
      </c>
      <c r="S14" s="88"/>
      <c r="T14" s="88"/>
      <c r="U14" s="88"/>
      <c r="V14" s="88"/>
      <c r="W14" s="88"/>
      <c r="X14" s="88"/>
      <c r="Y14" s="88"/>
    </row>
    <row r="15" spans="1:25" s="6" customFormat="1" ht="12" hidden="1" thickBot="1" x14ac:dyDescent="0.2">
      <c r="A15" s="235" t="str">
        <f>IF(ROW()&lt;=B$3,INDEX(FP!F:F,B$2+ROW()-1)&amp;" - "&amp;INDEX(FP!C:C,B$2+ROW()-1),"")</f>
        <v>d - Pavlík Marcel</v>
      </c>
      <c r="B15" s="235"/>
      <c r="C15" s="240">
        <f>IF(ROW()&lt;=B$3,INDEX(FP!E:E,B$2+ROW()-1),"")</f>
        <v>0</v>
      </c>
      <c r="D15" s="234" t="str">
        <f>IF(ROW()&lt;=B$3,INDEX(FP!F:F,B$2+ROW()-1),"")</f>
        <v>d</v>
      </c>
      <c r="E15" s="234"/>
      <c r="F15" s="234" t="str">
        <f>IF(ROW()&lt;=B$3,INDEX(FP!G:G,B$2+ROW()-1),"")</f>
        <v>026 03</v>
      </c>
      <c r="G15" s="234"/>
      <c r="H15" s="235" t="str">
        <f>IF(ROW()&lt;=B$3,INDEX(FP!C:C,B$2+ROW()-1),"")</f>
        <v>Pavlík Marcel</v>
      </c>
      <c r="I15" s="236">
        <f t="shared" si="3"/>
        <v>0</v>
      </c>
      <c r="J15" s="236">
        <f t="shared" si="1"/>
        <v>0</v>
      </c>
      <c r="K15" s="110" t="str">
        <f t="shared" si="2"/>
        <v>d - Pavlík Marcel</v>
      </c>
      <c r="L15" s="101">
        <v>99</v>
      </c>
      <c r="M15" s="99" t="str">
        <f>$A14</f>
        <v>d - Mihálik Peter</v>
      </c>
      <c r="N15" s="100">
        <v>99</v>
      </c>
      <c r="Q15" s="88"/>
      <c r="R15" s="88"/>
      <c r="S15" s="88"/>
      <c r="T15" s="88"/>
      <c r="U15" s="88"/>
      <c r="V15" s="88"/>
      <c r="W15" s="88"/>
      <c r="X15" s="88"/>
      <c r="Y15" s="88"/>
    </row>
    <row r="16" spans="1:25" s="6" customFormat="1" ht="12" hidden="1" thickBot="1" x14ac:dyDescent="0.2">
      <c r="A16" s="235" t="str">
        <f>IF(ROW()&lt;=B$3,INDEX(FP!F:F,B$2+ROW()-1)&amp;" - "&amp;INDEX(FP!C:C,B$2+ROW()-1),"")</f>
        <v>d - Riapoš Ján</v>
      </c>
      <c r="B16" s="235"/>
      <c r="C16" s="240">
        <f>IF(ROW()&lt;=B$3,INDEX(FP!E:E,B$2+ROW()-1),"")</f>
        <v>0</v>
      </c>
      <c r="D16" s="234" t="str">
        <f>IF(ROW()&lt;=B$3,INDEX(FP!F:F,B$2+ROW()-1),"")</f>
        <v>d</v>
      </c>
      <c r="E16" s="234"/>
      <c r="F16" s="234" t="str">
        <f>IF(ROW()&lt;=B$3,INDEX(FP!G:G,B$2+ROW()-1),"")</f>
        <v>026 03</v>
      </c>
      <c r="G16" s="234"/>
      <c r="H16" s="235" t="str">
        <f>IF(ROW()&lt;=B$3,INDEX(FP!C:C,B$2+ROW()-1),"")</f>
        <v>Riapoš Ján</v>
      </c>
      <c r="I16" s="236">
        <f t="shared" si="3"/>
        <v>0</v>
      </c>
      <c r="J16" s="236">
        <f t="shared" si="1"/>
        <v>0</v>
      </c>
      <c r="K16" s="110" t="str">
        <f t="shared" si="2"/>
        <v>d - Riapoš Ján</v>
      </c>
      <c r="L16" s="101">
        <v>99</v>
      </c>
      <c r="M16" s="102" t="s">
        <v>371</v>
      </c>
      <c r="N16" s="103" t="s">
        <v>415</v>
      </c>
      <c r="O16" s="88"/>
      <c r="P16" s="88"/>
      <c r="Q16" s="88"/>
      <c r="R16" s="88"/>
      <c r="S16" s="88"/>
      <c r="T16" s="88"/>
      <c r="U16" s="88"/>
      <c r="V16" s="88"/>
      <c r="W16" s="88"/>
      <c r="X16" s="88"/>
      <c r="Y16" s="88"/>
    </row>
    <row r="17" spans="1:25" s="6" customFormat="1" ht="12" hidden="1" thickBot="1" x14ac:dyDescent="0.2">
      <c r="A17" s="235" t="str">
        <f>IF(ROW()&lt;=B$3,INDEX(FP!F:F,B$2+ROW()-1)&amp;" - "&amp;INDEX(FP!C:C,B$2+ROW()-1),"")</f>
        <v>d - Strehársky Martin</v>
      </c>
      <c r="B17" s="235"/>
      <c r="C17" s="240">
        <f>IF(ROW()&lt;=B$3,INDEX(FP!E:E,B$2+ROW()-1),"")</f>
        <v>0</v>
      </c>
      <c r="D17" s="234" t="str">
        <f>IF(ROW()&lt;=B$3,INDEX(FP!F:F,B$2+ROW()-1),"")</f>
        <v>d</v>
      </c>
      <c r="E17" s="234"/>
      <c r="F17" s="234" t="str">
        <f>IF(ROW()&lt;=B$3,INDEX(FP!G:G,B$2+ROW()-1),"")</f>
        <v>026 03</v>
      </c>
      <c r="G17" s="234"/>
      <c r="H17" s="235" t="str">
        <f>IF(ROW()&lt;=B$3,INDEX(FP!C:C,B$2+ROW()-1),"")</f>
        <v>Strehársky Martin</v>
      </c>
      <c r="I17" s="236">
        <f t="shared" si="3"/>
        <v>0</v>
      </c>
      <c r="J17" s="236">
        <f t="shared" si="1"/>
        <v>0</v>
      </c>
      <c r="K17" s="110" t="str">
        <f t="shared" si="2"/>
        <v>d - Strehársky Martin</v>
      </c>
      <c r="L17" s="101">
        <v>99</v>
      </c>
      <c r="M17" s="104" t="str">
        <f>$A16</f>
        <v>d - Riapoš Ján</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d - Trávníček Boris</v>
      </c>
      <c r="B18" s="235"/>
      <c r="C18" s="240">
        <f>IF(ROW()&lt;=B$3,INDEX(FP!E:E,B$2+ROW()-1),"")</f>
        <v>0</v>
      </c>
      <c r="D18" s="234" t="str">
        <f>IF(ROW()&lt;=B$3,INDEX(FP!F:F,B$2+ROW()-1),"")</f>
        <v>d</v>
      </c>
      <c r="E18" s="234"/>
      <c r="F18" s="234" t="str">
        <f>IF(ROW()&lt;=B$3,INDEX(FP!G:G,B$2+ROW()-1),"")</f>
        <v>026 03</v>
      </c>
      <c r="G18" s="234"/>
      <c r="H18" s="235" t="str">
        <f>IF(ROW()&lt;=B$3,INDEX(FP!C:C,B$2+ROW()-1),"")</f>
        <v>Trávníček Boris</v>
      </c>
      <c r="I18" s="236">
        <f t="shared" si="3"/>
        <v>0</v>
      </c>
      <c r="J18" s="236">
        <f t="shared" si="1"/>
        <v>0</v>
      </c>
      <c r="K18" s="110" t="str">
        <f t="shared" si="2"/>
        <v>d - Trávníček Boris</v>
      </c>
      <c r="L18" s="101">
        <v>99</v>
      </c>
      <c r="M18" s="97" t="s">
        <v>371</v>
      </c>
      <c r="N18" s="98" t="s">
        <v>415</v>
      </c>
      <c r="Q18" s="88"/>
      <c r="R18" s="88"/>
      <c r="S18" s="88"/>
      <c r="T18" s="88"/>
      <c r="U18" s="88"/>
      <c r="V18" s="88"/>
      <c r="W18" s="88"/>
      <c r="X18" s="88"/>
      <c r="Y18" s="88"/>
    </row>
    <row r="19" spans="1:25" s="6" customFormat="1" ht="12" hidden="1" thickBot="1" x14ac:dyDescent="0.2">
      <c r="A19" s="235" t="str">
        <f>IF(ROW()&lt;=B$3,INDEX(FP!F:F,B$2+ROW()-1)&amp;" - "&amp;INDEX(FP!C:C,B$2+ROW()-1),"")</f>
        <v>d - Vladovičová Lucia</v>
      </c>
      <c r="B19" s="235"/>
      <c r="C19" s="240">
        <f>IF(ROW()&lt;=B$3,INDEX(FP!E:E,B$2+ROW()-1),"")</f>
        <v>0</v>
      </c>
      <c r="D19" s="234" t="str">
        <f>IF(ROW()&lt;=B$3,INDEX(FP!F:F,B$2+ROW()-1),"")</f>
        <v>d</v>
      </c>
      <c r="E19" s="234"/>
      <c r="F19" s="234" t="str">
        <f>IF(ROW()&lt;=B$3,INDEX(FP!G:G,B$2+ROW()-1),"")</f>
        <v>026 03</v>
      </c>
      <c r="G19" s="234"/>
      <c r="H19" s="235" t="str">
        <f>IF(ROW()&lt;=B$3,INDEX(FP!C:C,B$2+ROW()-1),"")</f>
        <v>Vladovičová Lucia</v>
      </c>
      <c r="I19" s="236">
        <f t="shared" si="3"/>
        <v>0</v>
      </c>
      <c r="J19" s="236">
        <f t="shared" si="1"/>
        <v>0</v>
      </c>
      <c r="K19" s="110" t="str">
        <f t="shared" si="2"/>
        <v>d - Vladovičová Lucia</v>
      </c>
      <c r="L19" s="101">
        <v>99</v>
      </c>
      <c r="M19" s="106" t="str">
        <f>$A18</f>
        <v>d - Trávníček Boris</v>
      </c>
      <c r="N19" s="107">
        <v>99</v>
      </c>
      <c r="S19" s="88"/>
      <c r="T19" s="88"/>
      <c r="U19" s="88"/>
      <c r="V19" s="88"/>
      <c r="W19" s="88"/>
      <c r="X19" s="88"/>
      <c r="Y19" s="88"/>
    </row>
    <row r="20" spans="1:25" s="6" customFormat="1" ht="12" hidden="1" thickBot="1" x14ac:dyDescent="0.2">
      <c r="A20" s="235" t="str">
        <f>IF(ROW()&lt;=B$3,INDEX(FP!F:F,B$2+ROW()-1)&amp;" - "&amp;INDEX(FP!C:C,B$2+ROW()-1),"")</f>
        <v>d - Vozárová Kristína</v>
      </c>
      <c r="B20" s="235"/>
      <c r="C20" s="240">
        <f>IF(ROW()&lt;=B$3,INDEX(FP!E:E,B$2+ROW()-1),"")</f>
        <v>0</v>
      </c>
      <c r="D20" s="234" t="str">
        <f>IF(ROW()&lt;=B$3,INDEX(FP!F:F,B$2+ROW()-1),"")</f>
        <v>d</v>
      </c>
      <c r="E20" s="234"/>
      <c r="F20" s="234" t="str">
        <f>IF(ROW()&lt;=B$3,INDEX(FP!G:G,B$2+ROW()-1),"")</f>
        <v>026 03</v>
      </c>
      <c r="G20" s="234"/>
      <c r="H20" s="235" t="str">
        <f>IF(ROW()&lt;=B$3,INDEX(FP!C:C,B$2+ROW()-1),"")</f>
        <v>Vozárová Kristína</v>
      </c>
      <c r="I20" s="236">
        <f t="shared" si="3"/>
        <v>0</v>
      </c>
      <c r="J20" s="236">
        <f t="shared" si="1"/>
        <v>0</v>
      </c>
      <c r="K20" s="110" t="str">
        <f t="shared" si="2"/>
        <v>d - Vozárová Kristína</v>
      </c>
      <c r="L20" s="101">
        <v>99</v>
      </c>
      <c r="M20" s="102" t="s">
        <v>371</v>
      </c>
      <c r="N20" s="103" t="s">
        <v>415</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d - Vozárová Kristína</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6" x14ac:dyDescent="0.2">
      <c r="A100" s="359" t="s">
        <v>365</v>
      </c>
      <c r="B100" s="359"/>
      <c r="C100" s="359"/>
      <c r="D100" s="359"/>
      <c r="E100" s="359"/>
      <c r="F100" s="359"/>
      <c r="G100" s="359"/>
      <c r="H100" s="359"/>
      <c r="I100" s="361" t="s">
        <v>440</v>
      </c>
      <c r="J100" s="361"/>
      <c r="K100" s="89"/>
    </row>
    <row r="101" spans="1:25" ht="16" x14ac:dyDescent="0.2">
      <c r="A101" s="359"/>
      <c r="B101" s="359"/>
      <c r="C101" s="359"/>
      <c r="D101" s="359"/>
      <c r="E101" s="359"/>
      <c r="F101" s="359"/>
      <c r="G101" s="359"/>
      <c r="H101" s="359"/>
      <c r="I101" s="360">
        <v>45740</v>
      </c>
      <c r="J101" s="360"/>
    </row>
    <row r="102" spans="1:25" ht="14" x14ac:dyDescent="0.15">
      <c r="A102" s="249" t="s">
        <v>441</v>
      </c>
      <c r="B102" s="250">
        <v>80</v>
      </c>
      <c r="C102" s="250"/>
      <c r="D102" s="251"/>
      <c r="E102" s="251"/>
      <c r="F102" s="251"/>
      <c r="G102" s="251"/>
      <c r="H102" s="251"/>
      <c r="I102" s="86"/>
      <c r="J102" s="220"/>
    </row>
    <row r="103" spans="1:25" s="83" customFormat="1" x14ac:dyDescent="0.15">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1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5" customHeight="1" x14ac:dyDescent="0.15">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4" x14ac:dyDescent="0.15">
      <c r="A107" s="14" t="s">
        <v>1873</v>
      </c>
      <c r="B107" s="14" t="s">
        <v>1753</v>
      </c>
      <c r="C107" s="14" t="s">
        <v>1754</v>
      </c>
      <c r="D107" s="16" t="s">
        <v>1755</v>
      </c>
      <c r="E107" s="16"/>
      <c r="F107" s="14" t="s">
        <v>1756</v>
      </c>
      <c r="G107" s="14" t="s">
        <v>1757</v>
      </c>
      <c r="H107" s="14" t="s">
        <v>1758</v>
      </c>
      <c r="I107" s="15">
        <v>71.03</v>
      </c>
      <c r="J107" s="77"/>
      <c r="K107" s="92"/>
    </row>
    <row r="108" spans="1:25" ht="24" x14ac:dyDescent="0.15">
      <c r="A108" s="14" t="s">
        <v>1873</v>
      </c>
      <c r="B108" s="14" t="s">
        <v>1759</v>
      </c>
      <c r="C108" s="14" t="s">
        <v>1760</v>
      </c>
      <c r="D108" s="16" t="s">
        <v>1761</v>
      </c>
      <c r="E108" s="16"/>
      <c r="F108" s="14" t="s">
        <v>1762</v>
      </c>
      <c r="G108" s="14" t="s">
        <v>1763</v>
      </c>
      <c r="H108" s="14" t="s">
        <v>1764</v>
      </c>
      <c r="I108" s="15">
        <v>0</v>
      </c>
      <c r="J108" s="77"/>
      <c r="K108" s="92"/>
    </row>
    <row r="109" spans="1:25" ht="13" x14ac:dyDescent="0.15">
      <c r="A109" s="14" t="s">
        <v>1873</v>
      </c>
      <c r="B109" s="14" t="s">
        <v>1759</v>
      </c>
      <c r="C109" s="14" t="s">
        <v>1760</v>
      </c>
      <c r="D109" s="16" t="s">
        <v>1761</v>
      </c>
      <c r="E109" s="16"/>
      <c r="F109" s="14" t="s">
        <v>1765</v>
      </c>
      <c r="G109" s="14" t="s">
        <v>1763</v>
      </c>
      <c r="H109" s="14" t="s">
        <v>1764</v>
      </c>
      <c r="I109" s="15">
        <v>4.8</v>
      </c>
      <c r="J109" s="77"/>
      <c r="K109" s="92"/>
    </row>
    <row r="110" spans="1:25" ht="24" x14ac:dyDescent="0.15">
      <c r="A110" s="14" t="s">
        <v>1873</v>
      </c>
      <c r="B110" s="14" t="s">
        <v>1766</v>
      </c>
      <c r="C110" s="14" t="s">
        <v>1767</v>
      </c>
      <c r="D110" s="16" t="s">
        <v>1768</v>
      </c>
      <c r="E110" s="16"/>
      <c r="F110" s="14" t="s">
        <v>1769</v>
      </c>
      <c r="G110" s="14" t="s">
        <v>1770</v>
      </c>
      <c r="H110" s="14" t="s">
        <v>1771</v>
      </c>
      <c r="I110" s="15">
        <v>0</v>
      </c>
      <c r="J110" s="77"/>
      <c r="K110" s="92"/>
    </row>
    <row r="111" spans="1:25" ht="24" x14ac:dyDescent="0.15">
      <c r="A111" s="14" t="s">
        <v>1873</v>
      </c>
      <c r="B111" s="14" t="s">
        <v>1766</v>
      </c>
      <c r="C111" s="14" t="s">
        <v>1767</v>
      </c>
      <c r="D111" s="16" t="s">
        <v>1768</v>
      </c>
      <c r="E111" s="16"/>
      <c r="F111" s="14" t="s">
        <v>1769</v>
      </c>
      <c r="G111" s="14" t="s">
        <v>1770</v>
      </c>
      <c r="H111" s="14" t="s">
        <v>1771</v>
      </c>
      <c r="I111" s="15">
        <v>1291.8800000000001</v>
      </c>
      <c r="J111" s="77"/>
      <c r="K111" s="92"/>
    </row>
    <row r="112" spans="1:25" ht="13" x14ac:dyDescent="0.15">
      <c r="A112" s="14" t="s">
        <v>1873</v>
      </c>
      <c r="B112" s="14" t="s">
        <v>1772</v>
      </c>
      <c r="C112" s="14" t="s">
        <v>1773</v>
      </c>
      <c r="D112" s="16" t="s">
        <v>1768</v>
      </c>
      <c r="E112" s="16"/>
      <c r="F112" s="14" t="s">
        <v>1774</v>
      </c>
      <c r="G112" s="14" t="s">
        <v>1775</v>
      </c>
      <c r="H112" s="14" t="s">
        <v>1776</v>
      </c>
      <c r="I112" s="15">
        <v>0</v>
      </c>
      <c r="J112" s="77"/>
      <c r="K112" s="92"/>
    </row>
    <row r="113" spans="1:11" ht="13" x14ac:dyDescent="0.15">
      <c r="A113" s="14" t="s">
        <v>1873</v>
      </c>
      <c r="B113" s="14" t="s">
        <v>1772</v>
      </c>
      <c r="C113" s="14" t="s">
        <v>1773</v>
      </c>
      <c r="D113" s="16" t="s">
        <v>1768</v>
      </c>
      <c r="E113" s="16"/>
      <c r="F113" s="14" t="s">
        <v>1774</v>
      </c>
      <c r="G113" s="14" t="s">
        <v>1775</v>
      </c>
      <c r="H113" s="14" t="s">
        <v>1776</v>
      </c>
      <c r="I113" s="15">
        <v>686.34</v>
      </c>
      <c r="J113" s="77"/>
      <c r="K113" s="92"/>
    </row>
    <row r="114" spans="1:11" ht="13" x14ac:dyDescent="0.15">
      <c r="A114" s="14" t="s">
        <v>1873</v>
      </c>
      <c r="B114" s="14" t="s">
        <v>1777</v>
      </c>
      <c r="C114" s="14" t="s">
        <v>1778</v>
      </c>
      <c r="D114" s="16" t="s">
        <v>1768</v>
      </c>
      <c r="E114" s="16"/>
      <c r="F114" s="14" t="s">
        <v>1779</v>
      </c>
      <c r="G114" s="14" t="s">
        <v>1780</v>
      </c>
      <c r="H114" s="14" t="s">
        <v>1781</v>
      </c>
      <c r="I114" s="15">
        <v>0</v>
      </c>
      <c r="J114" s="77"/>
      <c r="K114" s="92"/>
    </row>
    <row r="115" spans="1:11" ht="13" x14ac:dyDescent="0.15">
      <c r="A115" s="14" t="s">
        <v>1873</v>
      </c>
      <c r="B115" s="14" t="s">
        <v>1777</v>
      </c>
      <c r="C115" s="14" t="s">
        <v>1778</v>
      </c>
      <c r="D115" s="16" t="s">
        <v>1768</v>
      </c>
      <c r="E115" s="16"/>
      <c r="F115" s="14" t="s">
        <v>1779</v>
      </c>
      <c r="G115" s="14" t="s">
        <v>1780</v>
      </c>
      <c r="H115" s="14" t="s">
        <v>1781</v>
      </c>
      <c r="I115" s="15">
        <v>168</v>
      </c>
      <c r="J115" s="77"/>
      <c r="K115" s="92"/>
    </row>
    <row r="116" spans="1:11" ht="13" x14ac:dyDescent="0.15">
      <c r="A116" s="14" t="s">
        <v>1873</v>
      </c>
      <c r="B116" s="14" t="s">
        <v>1782</v>
      </c>
      <c r="C116" s="14" t="s">
        <v>1783</v>
      </c>
      <c r="D116" s="16" t="s">
        <v>1768</v>
      </c>
      <c r="E116" s="16"/>
      <c r="F116" s="14" t="s">
        <v>1784</v>
      </c>
      <c r="G116" s="14" t="s">
        <v>1785</v>
      </c>
      <c r="H116" s="14" t="s">
        <v>1786</v>
      </c>
      <c r="I116" s="15">
        <v>0</v>
      </c>
      <c r="J116" s="77"/>
      <c r="K116" s="92"/>
    </row>
    <row r="117" spans="1:11" ht="13" x14ac:dyDescent="0.15">
      <c r="A117" s="14" t="s">
        <v>1873</v>
      </c>
      <c r="B117" s="14" t="s">
        <v>1782</v>
      </c>
      <c r="C117" s="14" t="s">
        <v>1783</v>
      </c>
      <c r="D117" s="16" t="s">
        <v>1768</v>
      </c>
      <c r="E117" s="16"/>
      <c r="F117" s="14" t="s">
        <v>1784</v>
      </c>
      <c r="G117" s="14" t="s">
        <v>1785</v>
      </c>
      <c r="H117" s="14" t="s">
        <v>1786</v>
      </c>
      <c r="I117" s="15">
        <v>799</v>
      </c>
      <c r="J117" s="77"/>
      <c r="K117" s="92"/>
    </row>
    <row r="118" spans="1:11" ht="24" x14ac:dyDescent="0.15">
      <c r="A118" s="14" t="s">
        <v>1873</v>
      </c>
      <c r="B118" s="14" t="s">
        <v>1787</v>
      </c>
      <c r="C118" s="14" t="s">
        <v>1788</v>
      </c>
      <c r="D118" s="16" t="s">
        <v>1768</v>
      </c>
      <c r="E118" s="16"/>
      <c r="F118" s="14" t="s">
        <v>1789</v>
      </c>
      <c r="G118" s="14" t="s">
        <v>1790</v>
      </c>
      <c r="H118" s="14" t="s">
        <v>1791</v>
      </c>
      <c r="I118" s="15">
        <v>0</v>
      </c>
      <c r="J118" s="77"/>
      <c r="K118" s="92"/>
    </row>
    <row r="119" spans="1:11" ht="24" x14ac:dyDescent="0.15">
      <c r="A119" s="14" t="s">
        <v>1873</v>
      </c>
      <c r="B119" s="14" t="s">
        <v>1787</v>
      </c>
      <c r="C119" s="14" t="s">
        <v>1788</v>
      </c>
      <c r="D119" s="16" t="s">
        <v>1768</v>
      </c>
      <c r="E119" s="16"/>
      <c r="F119" s="14" t="s">
        <v>1792</v>
      </c>
      <c r="G119" s="14" t="s">
        <v>1790</v>
      </c>
      <c r="H119" s="14" t="s">
        <v>1791</v>
      </c>
      <c r="I119" s="15">
        <v>153.75</v>
      </c>
      <c r="J119" s="77"/>
      <c r="K119" s="92"/>
    </row>
    <row r="120" spans="1:11" ht="13" x14ac:dyDescent="0.15">
      <c r="A120" s="14" t="s">
        <v>1873</v>
      </c>
      <c r="B120" s="14" t="s">
        <v>1793</v>
      </c>
      <c r="C120" s="14" t="s">
        <v>1794</v>
      </c>
      <c r="D120" s="16" t="s">
        <v>1768</v>
      </c>
      <c r="E120" s="16"/>
      <c r="F120" s="14" t="s">
        <v>1795</v>
      </c>
      <c r="G120" s="14" t="s">
        <v>1796</v>
      </c>
      <c r="H120" s="14" t="s">
        <v>1797</v>
      </c>
      <c r="I120" s="15">
        <v>0</v>
      </c>
      <c r="J120" s="77"/>
      <c r="K120" s="92"/>
    </row>
    <row r="121" spans="1:11" ht="13" x14ac:dyDescent="0.15">
      <c r="A121" s="14" t="s">
        <v>1873</v>
      </c>
      <c r="B121" s="14" t="s">
        <v>1793</v>
      </c>
      <c r="C121" s="14" t="s">
        <v>1794</v>
      </c>
      <c r="D121" s="16" t="s">
        <v>1768</v>
      </c>
      <c r="E121" s="16"/>
      <c r="F121" s="14" t="s">
        <v>1795</v>
      </c>
      <c r="G121" s="14" t="s">
        <v>1796</v>
      </c>
      <c r="H121" s="14" t="s">
        <v>1797</v>
      </c>
      <c r="I121" s="15">
        <v>773.84</v>
      </c>
      <c r="J121" s="77"/>
      <c r="K121" s="92"/>
    </row>
    <row r="122" spans="1:11" ht="13" x14ac:dyDescent="0.15">
      <c r="A122" s="14" t="s">
        <v>1873</v>
      </c>
      <c r="B122" s="14" t="s">
        <v>1798</v>
      </c>
      <c r="C122" s="14" t="s">
        <v>1799</v>
      </c>
      <c r="D122" s="16" t="s">
        <v>1768</v>
      </c>
      <c r="E122" s="16"/>
      <c r="F122" s="14" t="s">
        <v>1800</v>
      </c>
      <c r="G122" s="14" t="s">
        <v>1801</v>
      </c>
      <c r="H122" s="14" t="s">
        <v>1802</v>
      </c>
      <c r="I122" s="15">
        <v>0</v>
      </c>
      <c r="J122" s="77"/>
      <c r="K122" s="92"/>
    </row>
    <row r="123" spans="1:11" ht="13" x14ac:dyDescent="0.15">
      <c r="A123" s="14" t="s">
        <v>1873</v>
      </c>
      <c r="B123" s="14" t="s">
        <v>1798</v>
      </c>
      <c r="C123" s="14" t="s">
        <v>1799</v>
      </c>
      <c r="D123" s="16" t="s">
        <v>1768</v>
      </c>
      <c r="E123" s="16"/>
      <c r="F123" s="14" t="s">
        <v>1800</v>
      </c>
      <c r="G123" s="14" t="s">
        <v>1801</v>
      </c>
      <c r="H123" s="14" t="s">
        <v>1802</v>
      </c>
      <c r="I123" s="15">
        <v>984</v>
      </c>
      <c r="J123" s="77"/>
      <c r="K123" s="92"/>
    </row>
    <row r="124" spans="1:11" ht="24" x14ac:dyDescent="0.15">
      <c r="A124" s="14" t="s">
        <v>1873</v>
      </c>
      <c r="B124" s="14" t="s">
        <v>1803</v>
      </c>
      <c r="C124" s="14" t="s">
        <v>1804</v>
      </c>
      <c r="D124" s="16" t="s">
        <v>1805</v>
      </c>
      <c r="E124" s="16"/>
      <c r="F124" s="14" t="s">
        <v>1806</v>
      </c>
      <c r="G124" s="14" t="s">
        <v>1807</v>
      </c>
      <c r="H124" s="14" t="s">
        <v>1808</v>
      </c>
      <c r="I124" s="15">
        <v>0</v>
      </c>
      <c r="J124" s="77"/>
      <c r="K124" s="92"/>
    </row>
    <row r="125" spans="1:11" ht="24" x14ac:dyDescent="0.15">
      <c r="A125" s="14" t="s">
        <v>1873</v>
      </c>
      <c r="B125" s="14" t="s">
        <v>1803</v>
      </c>
      <c r="C125" s="14" t="s">
        <v>1804</v>
      </c>
      <c r="D125" s="16" t="s">
        <v>1805</v>
      </c>
      <c r="E125" s="16"/>
      <c r="F125" s="14" t="s">
        <v>1806</v>
      </c>
      <c r="G125" s="14" t="s">
        <v>1807</v>
      </c>
      <c r="H125" s="14" t="s">
        <v>1808</v>
      </c>
      <c r="I125" s="15">
        <v>31.61</v>
      </c>
      <c r="J125" s="77"/>
      <c r="K125" s="92"/>
    </row>
    <row r="126" spans="1:11" ht="24" x14ac:dyDescent="0.15">
      <c r="A126" s="14" t="s">
        <v>1873</v>
      </c>
      <c r="B126" s="14" t="s">
        <v>1809</v>
      </c>
      <c r="C126" s="14" t="s">
        <v>1810</v>
      </c>
      <c r="D126" s="16" t="s">
        <v>1768</v>
      </c>
      <c r="E126" s="16"/>
      <c r="F126" s="14" t="s">
        <v>1811</v>
      </c>
      <c r="G126" s="14" t="s">
        <v>1812</v>
      </c>
      <c r="H126" s="14" t="s">
        <v>1813</v>
      </c>
      <c r="I126" s="15">
        <v>0</v>
      </c>
      <c r="J126" s="77"/>
      <c r="K126" s="92"/>
    </row>
    <row r="127" spans="1:11" ht="24" x14ac:dyDescent="0.15">
      <c r="A127" s="14" t="s">
        <v>1873</v>
      </c>
      <c r="B127" s="14" t="s">
        <v>1809</v>
      </c>
      <c r="C127" s="14" t="s">
        <v>1810</v>
      </c>
      <c r="D127" s="16" t="s">
        <v>1768</v>
      </c>
      <c r="E127" s="16"/>
      <c r="F127" s="14" t="s">
        <v>1811</v>
      </c>
      <c r="G127" s="14" t="s">
        <v>1812</v>
      </c>
      <c r="H127" s="14" t="s">
        <v>1813</v>
      </c>
      <c r="I127" s="15">
        <v>880</v>
      </c>
      <c r="J127" s="77"/>
      <c r="K127" s="92"/>
    </row>
    <row r="128" spans="1:11" ht="24" x14ac:dyDescent="0.15">
      <c r="A128" s="14" t="s">
        <v>1874</v>
      </c>
      <c r="B128" s="14" t="s">
        <v>1809</v>
      </c>
      <c r="C128" s="14" t="s">
        <v>1810</v>
      </c>
      <c r="D128" s="16" t="s">
        <v>1768</v>
      </c>
      <c r="E128" s="16"/>
      <c r="F128" s="14" t="s">
        <v>1811</v>
      </c>
      <c r="G128" s="14" t="s">
        <v>1812</v>
      </c>
      <c r="H128" s="14" t="s">
        <v>1813</v>
      </c>
      <c r="I128" s="15">
        <v>880</v>
      </c>
      <c r="J128" s="77"/>
      <c r="K128" s="92"/>
    </row>
    <row r="129" spans="1:11" ht="13" x14ac:dyDescent="0.15">
      <c r="A129" s="14" t="s">
        <v>1873</v>
      </c>
      <c r="B129" s="14" t="s">
        <v>1814</v>
      </c>
      <c r="C129" s="14" t="s">
        <v>1815</v>
      </c>
      <c r="D129" s="16" t="s">
        <v>1768</v>
      </c>
      <c r="E129" s="16"/>
      <c r="F129" s="14" t="s">
        <v>1816</v>
      </c>
      <c r="G129" s="14" t="s">
        <v>1817</v>
      </c>
      <c r="H129" s="14" t="s">
        <v>1818</v>
      </c>
      <c r="I129" s="15">
        <v>0</v>
      </c>
      <c r="J129" s="77"/>
      <c r="K129" s="92"/>
    </row>
    <row r="130" spans="1:11" ht="13" x14ac:dyDescent="0.15">
      <c r="A130" s="14" t="s">
        <v>1873</v>
      </c>
      <c r="B130" s="14" t="s">
        <v>1814</v>
      </c>
      <c r="C130" s="14" t="s">
        <v>1815</v>
      </c>
      <c r="D130" s="16" t="s">
        <v>1768</v>
      </c>
      <c r="E130" s="16"/>
      <c r="F130" s="14" t="s">
        <v>1816</v>
      </c>
      <c r="G130" s="14" t="s">
        <v>1817</v>
      </c>
      <c r="H130" s="14" t="s">
        <v>1818</v>
      </c>
      <c r="I130" s="15">
        <v>752.56</v>
      </c>
      <c r="J130" s="77"/>
      <c r="K130" s="92"/>
    </row>
    <row r="131" spans="1:11" ht="13" x14ac:dyDescent="0.15">
      <c r="A131" s="14" t="s">
        <v>1873</v>
      </c>
      <c r="B131" s="14" t="s">
        <v>1819</v>
      </c>
      <c r="C131" s="14" t="s">
        <v>1820</v>
      </c>
      <c r="D131" s="16" t="s">
        <v>1768</v>
      </c>
      <c r="E131" s="16"/>
      <c r="F131" s="14" t="s">
        <v>1821</v>
      </c>
      <c r="G131" s="14"/>
      <c r="H131" s="14" t="s">
        <v>1822</v>
      </c>
      <c r="I131" s="15">
        <v>0</v>
      </c>
      <c r="J131" s="77"/>
      <c r="K131" s="92"/>
    </row>
    <row r="132" spans="1:11" ht="13" x14ac:dyDescent="0.15">
      <c r="A132" s="14" t="s">
        <v>1873</v>
      </c>
      <c r="B132" s="14" t="s">
        <v>1819</v>
      </c>
      <c r="C132" s="14" t="s">
        <v>1820</v>
      </c>
      <c r="D132" s="16" t="s">
        <v>1768</v>
      </c>
      <c r="E132" s="16"/>
      <c r="F132" s="14" t="s">
        <v>1821</v>
      </c>
      <c r="G132" s="14"/>
      <c r="H132" s="14" t="s">
        <v>1822</v>
      </c>
      <c r="I132" s="15">
        <v>1820</v>
      </c>
      <c r="J132" s="77"/>
      <c r="K132" s="92"/>
    </row>
    <row r="133" spans="1:11" ht="13" x14ac:dyDescent="0.15">
      <c r="A133" s="14" t="s">
        <v>1873</v>
      </c>
      <c r="B133" s="14" t="s">
        <v>1823</v>
      </c>
      <c r="C133" s="14" t="s">
        <v>1824</v>
      </c>
      <c r="D133" s="16" t="s">
        <v>1768</v>
      </c>
      <c r="E133" s="16"/>
      <c r="F133" s="14" t="s">
        <v>1825</v>
      </c>
      <c r="G133" s="14"/>
      <c r="H133" s="14" t="s">
        <v>1826</v>
      </c>
      <c r="I133" s="15">
        <v>0</v>
      </c>
      <c r="J133" s="77"/>
      <c r="K133" s="92"/>
    </row>
    <row r="134" spans="1:11" ht="13" x14ac:dyDescent="0.15">
      <c r="A134" s="14" t="s">
        <v>1873</v>
      </c>
      <c r="B134" s="14" t="s">
        <v>1823</v>
      </c>
      <c r="C134" s="14" t="s">
        <v>1824</v>
      </c>
      <c r="D134" s="16" t="s">
        <v>1768</v>
      </c>
      <c r="E134" s="16"/>
      <c r="F134" s="14" t="s">
        <v>1825</v>
      </c>
      <c r="G134" s="14"/>
      <c r="H134" s="14" t="s">
        <v>1826</v>
      </c>
      <c r="I134" s="15">
        <v>850</v>
      </c>
      <c r="J134" s="77"/>
      <c r="K134" s="92"/>
    </row>
    <row r="135" spans="1:11" ht="13" x14ac:dyDescent="0.15">
      <c r="A135" s="14" t="s">
        <v>1873</v>
      </c>
      <c r="B135" s="14" t="s">
        <v>1827</v>
      </c>
      <c r="C135" s="14" t="s">
        <v>1828</v>
      </c>
      <c r="D135" s="16" t="s">
        <v>1768</v>
      </c>
      <c r="E135" s="16"/>
      <c r="F135" s="14" t="s">
        <v>1829</v>
      </c>
      <c r="G135" s="14" t="s">
        <v>896</v>
      </c>
      <c r="H135" s="14" t="s">
        <v>897</v>
      </c>
      <c r="I135" s="15">
        <v>0</v>
      </c>
      <c r="J135" s="77"/>
      <c r="K135" s="92"/>
    </row>
    <row r="136" spans="1:11" ht="13" x14ac:dyDescent="0.15">
      <c r="A136" s="14" t="s">
        <v>1873</v>
      </c>
      <c r="B136" s="14" t="s">
        <v>1827</v>
      </c>
      <c r="C136" s="14" t="s">
        <v>1828</v>
      </c>
      <c r="D136" s="16" t="s">
        <v>1768</v>
      </c>
      <c r="E136" s="16"/>
      <c r="F136" s="14" t="s">
        <v>1829</v>
      </c>
      <c r="G136" s="14" t="s">
        <v>896</v>
      </c>
      <c r="H136" s="14" t="s">
        <v>897</v>
      </c>
      <c r="I136" s="15">
        <v>681.42</v>
      </c>
      <c r="J136" s="77"/>
      <c r="K136" s="92"/>
    </row>
    <row r="137" spans="1:11" ht="36" x14ac:dyDescent="0.15">
      <c r="A137" s="14" t="s">
        <v>1873</v>
      </c>
      <c r="B137" s="14" t="s">
        <v>1830</v>
      </c>
      <c r="C137" s="14" t="s">
        <v>1831</v>
      </c>
      <c r="D137" s="16" t="s">
        <v>1832</v>
      </c>
      <c r="E137" s="16"/>
      <c r="F137" s="14" t="s">
        <v>1833</v>
      </c>
      <c r="G137" s="14"/>
      <c r="H137" s="14" t="s">
        <v>1834</v>
      </c>
      <c r="I137" s="15">
        <v>0</v>
      </c>
      <c r="J137" s="77"/>
      <c r="K137" s="92"/>
    </row>
    <row r="138" spans="1:11" ht="24" x14ac:dyDescent="0.15">
      <c r="A138" s="14" t="s">
        <v>1873</v>
      </c>
      <c r="B138" s="14" t="s">
        <v>1830</v>
      </c>
      <c r="C138" s="14" t="s">
        <v>1831</v>
      </c>
      <c r="D138" s="16" t="s">
        <v>1832</v>
      </c>
      <c r="E138" s="16"/>
      <c r="F138" s="14" t="s">
        <v>1835</v>
      </c>
      <c r="G138" s="14"/>
      <c r="H138" s="14" t="s">
        <v>1834</v>
      </c>
      <c r="I138" s="15">
        <v>4710</v>
      </c>
      <c r="J138" s="77"/>
      <c r="K138" s="92"/>
    </row>
    <row r="139" spans="1:11" ht="13" x14ac:dyDescent="0.15">
      <c r="A139" s="14" t="s">
        <v>1873</v>
      </c>
      <c r="B139" s="14" t="s">
        <v>1836</v>
      </c>
      <c r="C139" s="14" t="s">
        <v>1837</v>
      </c>
      <c r="D139" s="16" t="s">
        <v>1838</v>
      </c>
      <c r="E139" s="16"/>
      <c r="F139" s="14" t="s">
        <v>1839</v>
      </c>
      <c r="G139" s="14" t="s">
        <v>1840</v>
      </c>
      <c r="H139" s="14" t="s">
        <v>1841</v>
      </c>
      <c r="I139" s="15">
        <v>73.8</v>
      </c>
      <c r="J139" s="77"/>
      <c r="K139" s="92"/>
    </row>
    <row r="140" spans="1:11" ht="13" x14ac:dyDescent="0.15">
      <c r="A140" s="14" t="s">
        <v>1873</v>
      </c>
      <c r="B140" s="14" t="s">
        <v>1842</v>
      </c>
      <c r="C140" s="14" t="s">
        <v>1843</v>
      </c>
      <c r="D140" s="16" t="s">
        <v>1768</v>
      </c>
      <c r="E140" s="16"/>
      <c r="F140" s="14" t="s">
        <v>1844</v>
      </c>
      <c r="G140" s="14" t="s">
        <v>1845</v>
      </c>
      <c r="H140" s="14" t="s">
        <v>1846</v>
      </c>
      <c r="I140" s="15">
        <v>29.32</v>
      </c>
      <c r="J140" s="77"/>
      <c r="K140" s="92"/>
    </row>
    <row r="141" spans="1:11" ht="13" x14ac:dyDescent="0.15">
      <c r="A141" s="14" t="s">
        <v>1873</v>
      </c>
      <c r="B141" s="14" t="s">
        <v>1847</v>
      </c>
      <c r="C141" s="14" t="s">
        <v>1848</v>
      </c>
      <c r="D141" s="16" t="s">
        <v>1768</v>
      </c>
      <c r="E141" s="16"/>
      <c r="F141" s="14" t="s">
        <v>1849</v>
      </c>
      <c r="G141" s="14" t="s">
        <v>877</v>
      </c>
      <c r="H141" s="14" t="s">
        <v>878</v>
      </c>
      <c r="I141" s="15">
        <v>100</v>
      </c>
      <c r="J141" s="77"/>
      <c r="K141" s="92"/>
    </row>
    <row r="142" spans="1:11" ht="24" x14ac:dyDescent="0.15">
      <c r="A142" s="14" t="s">
        <v>1873</v>
      </c>
      <c r="B142" s="14" t="s">
        <v>1850</v>
      </c>
      <c r="C142" s="14" t="s">
        <v>1851</v>
      </c>
      <c r="D142" s="16" t="s">
        <v>1768</v>
      </c>
      <c r="E142" s="16"/>
      <c r="F142" s="14" t="s">
        <v>1852</v>
      </c>
      <c r="G142" s="14"/>
      <c r="H142" s="14" t="s">
        <v>1853</v>
      </c>
      <c r="I142" s="15">
        <v>23.9</v>
      </c>
      <c r="J142" s="77"/>
      <c r="K142" s="92"/>
    </row>
    <row r="143" spans="1:11" ht="13" x14ac:dyDescent="0.15">
      <c r="A143" s="14" t="s">
        <v>1873</v>
      </c>
      <c r="B143" s="14" t="s">
        <v>1850</v>
      </c>
      <c r="C143" s="14"/>
      <c r="D143" s="16" t="s">
        <v>1768</v>
      </c>
      <c r="E143" s="16"/>
      <c r="F143" s="14" t="s">
        <v>1854</v>
      </c>
      <c r="G143" s="14"/>
      <c r="H143" s="14" t="s">
        <v>1853</v>
      </c>
      <c r="I143" s="15">
        <v>0.55000000000000004</v>
      </c>
      <c r="J143" s="77"/>
      <c r="K143" s="92"/>
    </row>
    <row r="144" spans="1:11" ht="13" x14ac:dyDescent="0.15">
      <c r="A144" s="14" t="s">
        <v>1873</v>
      </c>
      <c r="B144" s="14" t="s">
        <v>1855</v>
      </c>
      <c r="C144" s="14" t="s">
        <v>1855</v>
      </c>
      <c r="D144" s="16" t="s">
        <v>1768</v>
      </c>
      <c r="E144" s="16"/>
      <c r="F144" s="14" t="s">
        <v>1856</v>
      </c>
      <c r="G144" s="14"/>
      <c r="H144" s="14" t="s">
        <v>1857</v>
      </c>
      <c r="I144" s="15">
        <v>5.49</v>
      </c>
      <c r="J144" s="77"/>
      <c r="K144" s="92"/>
    </row>
    <row r="145" spans="1:11" ht="13" x14ac:dyDescent="0.15">
      <c r="A145" s="14" t="s">
        <v>1873</v>
      </c>
      <c r="B145" s="14" t="s">
        <v>1855</v>
      </c>
      <c r="C145" s="14" t="s">
        <v>1855</v>
      </c>
      <c r="D145" s="16" t="s">
        <v>1768</v>
      </c>
      <c r="E145" s="16"/>
      <c r="F145" s="14" t="s">
        <v>1858</v>
      </c>
      <c r="G145" s="14"/>
      <c r="H145" s="14" t="s">
        <v>1857</v>
      </c>
      <c r="I145" s="15">
        <v>172.85</v>
      </c>
      <c r="J145" s="77"/>
      <c r="K145" s="92"/>
    </row>
    <row r="146" spans="1:11" ht="24" x14ac:dyDescent="0.15">
      <c r="A146" s="14" t="s">
        <v>1875</v>
      </c>
      <c r="B146" s="14" t="s">
        <v>1859</v>
      </c>
      <c r="C146" s="14" t="s">
        <v>1859</v>
      </c>
      <c r="D146" s="16" t="s">
        <v>1768</v>
      </c>
      <c r="E146" s="16"/>
      <c r="F146" s="14" t="s">
        <v>1860</v>
      </c>
      <c r="G146" s="14"/>
      <c r="H146" s="14" t="s">
        <v>1861</v>
      </c>
      <c r="I146" s="15">
        <v>0</v>
      </c>
      <c r="J146" s="77"/>
      <c r="K146" s="92"/>
    </row>
    <row r="147" spans="1:11" ht="13" x14ac:dyDescent="0.15">
      <c r="A147" s="14" t="s">
        <v>1876</v>
      </c>
      <c r="B147" s="14" t="s">
        <v>1859</v>
      </c>
      <c r="C147" s="14" t="s">
        <v>1859</v>
      </c>
      <c r="D147" s="16" t="s">
        <v>1768</v>
      </c>
      <c r="E147" s="16"/>
      <c r="F147" s="14" t="s">
        <v>1862</v>
      </c>
      <c r="G147" s="14"/>
      <c r="H147" s="14" t="s">
        <v>1861</v>
      </c>
      <c r="I147" s="15">
        <v>3630</v>
      </c>
      <c r="J147" s="77"/>
      <c r="K147" s="92"/>
    </row>
    <row r="148" spans="1:11" ht="13" x14ac:dyDescent="0.15">
      <c r="A148" s="14" t="s">
        <v>1876</v>
      </c>
      <c r="B148" s="14" t="s">
        <v>1859</v>
      </c>
      <c r="C148" s="14" t="s">
        <v>1859</v>
      </c>
      <c r="D148" s="16" t="s">
        <v>1768</v>
      </c>
      <c r="E148" s="16"/>
      <c r="F148" s="14" t="s">
        <v>1862</v>
      </c>
      <c r="G148" s="14"/>
      <c r="H148" s="14" t="s">
        <v>1861</v>
      </c>
      <c r="I148" s="15">
        <v>180</v>
      </c>
      <c r="J148" s="77"/>
      <c r="K148" s="92"/>
    </row>
    <row r="149" spans="1:11" ht="24" x14ac:dyDescent="0.15">
      <c r="A149" s="14" t="s">
        <v>1873</v>
      </c>
      <c r="B149" s="14" t="s">
        <v>1863</v>
      </c>
      <c r="C149" s="14" t="s">
        <v>1863</v>
      </c>
      <c r="D149" s="16" t="s">
        <v>1768</v>
      </c>
      <c r="E149" s="16"/>
      <c r="F149" s="14" t="s">
        <v>1864</v>
      </c>
      <c r="G149" s="14"/>
      <c r="H149" s="14" t="s">
        <v>1865</v>
      </c>
      <c r="I149" s="15">
        <v>0</v>
      </c>
      <c r="J149" s="77"/>
      <c r="K149" s="92"/>
    </row>
    <row r="150" spans="1:11" ht="24" x14ac:dyDescent="0.15">
      <c r="A150" s="14" t="s">
        <v>1873</v>
      </c>
      <c r="B150" s="14" t="s">
        <v>1863</v>
      </c>
      <c r="C150" s="14" t="s">
        <v>1863</v>
      </c>
      <c r="D150" s="16" t="s">
        <v>1768</v>
      </c>
      <c r="E150" s="16"/>
      <c r="F150" s="14" t="s">
        <v>1866</v>
      </c>
      <c r="G150" s="14"/>
      <c r="H150" s="14" t="s">
        <v>1865</v>
      </c>
      <c r="I150" s="15">
        <v>450</v>
      </c>
      <c r="J150" s="77"/>
      <c r="K150" s="92"/>
    </row>
    <row r="151" spans="1:11" ht="13" x14ac:dyDescent="0.15">
      <c r="A151" s="14" t="s">
        <v>1873</v>
      </c>
      <c r="B151" s="14" t="s">
        <v>1867</v>
      </c>
      <c r="C151" s="14" t="s">
        <v>1867</v>
      </c>
      <c r="D151" s="16" t="s">
        <v>1768</v>
      </c>
      <c r="E151" s="16"/>
      <c r="F151" s="14" t="s">
        <v>1868</v>
      </c>
      <c r="G151" s="14"/>
      <c r="H151" s="14" t="s">
        <v>1869</v>
      </c>
      <c r="I151" s="15">
        <v>0</v>
      </c>
      <c r="J151" s="77"/>
      <c r="K151" s="92"/>
    </row>
    <row r="152" spans="1:11" ht="13" x14ac:dyDescent="0.15">
      <c r="A152" s="14" t="s">
        <v>1873</v>
      </c>
      <c r="B152" s="14" t="s">
        <v>1867</v>
      </c>
      <c r="C152" s="14" t="s">
        <v>1867</v>
      </c>
      <c r="D152" s="16" t="s">
        <v>1768</v>
      </c>
      <c r="E152" s="16"/>
      <c r="F152" s="14" t="s">
        <v>187</v>
      </c>
      <c r="G152" s="14"/>
      <c r="H152" s="14" t="s">
        <v>1869</v>
      </c>
      <c r="I152" s="15">
        <v>15.4</v>
      </c>
      <c r="J152" s="77"/>
      <c r="K152" s="92"/>
    </row>
    <row r="153" spans="1:11" ht="13" x14ac:dyDescent="0.15">
      <c r="A153" s="14" t="s">
        <v>1873</v>
      </c>
      <c r="B153" s="14" t="s">
        <v>1870</v>
      </c>
      <c r="C153" s="14" t="s">
        <v>1870</v>
      </c>
      <c r="D153" s="16" t="s">
        <v>1768</v>
      </c>
      <c r="E153" s="16"/>
      <c r="F153" s="14" t="s">
        <v>1868</v>
      </c>
      <c r="G153" s="14"/>
      <c r="H153" s="14" t="s">
        <v>1871</v>
      </c>
      <c r="I153" s="15">
        <v>0</v>
      </c>
      <c r="J153" s="77"/>
      <c r="K153" s="92"/>
    </row>
    <row r="154" spans="1:11" ht="13" x14ac:dyDescent="0.15">
      <c r="A154" s="14" t="s">
        <v>1873</v>
      </c>
      <c r="B154" s="14" t="s">
        <v>1870</v>
      </c>
      <c r="C154" s="14" t="s">
        <v>1870</v>
      </c>
      <c r="D154" s="16" t="s">
        <v>1768</v>
      </c>
      <c r="E154" s="16"/>
      <c r="F154" s="14" t="s">
        <v>1872</v>
      </c>
      <c r="G154" s="14"/>
      <c r="H154" s="14" t="s">
        <v>1871</v>
      </c>
      <c r="I154" s="15">
        <v>132.30000000000001</v>
      </c>
      <c r="J154" s="77"/>
      <c r="K154" s="92"/>
    </row>
    <row r="155" spans="1:11" ht="13" x14ac:dyDescent="0.15">
      <c r="A155" s="14"/>
      <c r="B155" s="14"/>
      <c r="C155" s="14"/>
      <c r="D155" s="16"/>
      <c r="E155" s="16"/>
      <c r="F155" s="14"/>
      <c r="G155" s="14"/>
      <c r="H155" s="14"/>
      <c r="I155" s="15"/>
      <c r="J155" s="77"/>
      <c r="K155" s="92"/>
    </row>
    <row r="156" spans="1:11" ht="13" x14ac:dyDescent="0.15">
      <c r="A156" s="14"/>
      <c r="B156" s="14"/>
      <c r="C156" s="14"/>
      <c r="D156" s="16"/>
      <c r="E156" s="16"/>
      <c r="F156" s="14"/>
      <c r="G156" s="14"/>
      <c r="H156" s="14"/>
      <c r="I156" s="15"/>
      <c r="J156" s="77"/>
      <c r="K156" s="92"/>
    </row>
    <row r="157" spans="1:11" ht="13" x14ac:dyDescent="0.15">
      <c r="A157" s="14"/>
      <c r="B157" s="14"/>
      <c r="C157" s="14"/>
      <c r="D157" s="16"/>
      <c r="E157" s="16"/>
      <c r="F157" s="14"/>
      <c r="G157" s="14"/>
      <c r="H157" s="14"/>
      <c r="I157" s="15"/>
      <c r="J157" s="77"/>
      <c r="K157" s="92"/>
    </row>
    <row r="158" spans="1:11" ht="13" x14ac:dyDescent="0.15">
      <c r="A158" s="14"/>
      <c r="B158" s="14"/>
      <c r="C158" s="14"/>
      <c r="D158" s="16"/>
      <c r="E158" s="16"/>
      <c r="F158" s="14"/>
      <c r="G158" s="14"/>
      <c r="H158" s="14"/>
      <c r="I158" s="15"/>
      <c r="J158" s="77"/>
      <c r="K158" s="92"/>
    </row>
    <row r="159" spans="1:11" ht="13" x14ac:dyDescent="0.15">
      <c r="A159" s="14"/>
      <c r="B159" s="14"/>
      <c r="C159" s="14"/>
      <c r="D159" s="16"/>
      <c r="E159" s="16"/>
      <c r="F159" s="14"/>
      <c r="G159" s="14"/>
      <c r="H159" s="14"/>
      <c r="I159" s="15"/>
      <c r="J159" s="77"/>
      <c r="K159" s="92"/>
    </row>
    <row r="160" spans="1:11" ht="13" x14ac:dyDescent="0.15">
      <c r="A160" s="14"/>
      <c r="B160" s="14"/>
      <c r="C160" s="14"/>
      <c r="D160" s="16"/>
      <c r="E160" s="16"/>
      <c r="F160" s="14"/>
      <c r="G160" s="14"/>
      <c r="H160" s="14"/>
      <c r="I160" s="15"/>
      <c r="J160" s="77"/>
      <c r="K160" s="92"/>
    </row>
    <row r="161" spans="1:11" ht="13" x14ac:dyDescent="0.15">
      <c r="A161" s="14"/>
      <c r="B161" s="14"/>
      <c r="C161" s="14"/>
      <c r="D161" s="16"/>
      <c r="E161" s="16"/>
      <c r="F161" s="14"/>
      <c r="G161" s="14"/>
      <c r="H161" s="14"/>
      <c r="I161" s="15"/>
      <c r="J161" s="77"/>
      <c r="K161" s="92"/>
    </row>
    <row r="162" spans="1:11" ht="13" x14ac:dyDescent="0.15">
      <c r="A162" s="14"/>
      <c r="B162" s="14"/>
      <c r="C162" s="14"/>
      <c r="D162" s="16"/>
      <c r="E162" s="16"/>
      <c r="F162" s="14"/>
      <c r="G162" s="14"/>
      <c r="H162" s="14"/>
      <c r="I162" s="15"/>
      <c r="J162" s="77"/>
      <c r="K162" s="92"/>
    </row>
    <row r="163" spans="1:11" ht="13" x14ac:dyDescent="0.15">
      <c r="A163" s="14"/>
      <c r="B163" s="14"/>
      <c r="C163" s="14"/>
      <c r="D163" s="16"/>
      <c r="E163" s="16"/>
      <c r="F163" s="14"/>
      <c r="G163" s="14"/>
      <c r="H163" s="14"/>
      <c r="I163" s="15"/>
      <c r="J163" s="77"/>
      <c r="K163" s="92"/>
    </row>
    <row r="164" spans="1:11" ht="13" x14ac:dyDescent="0.15">
      <c r="A164" s="14"/>
      <c r="B164" s="14"/>
      <c r="C164" s="14"/>
      <c r="D164" s="16"/>
      <c r="E164" s="16"/>
      <c r="F164" s="14"/>
      <c r="G164" s="14"/>
      <c r="H164" s="14"/>
      <c r="I164" s="15"/>
      <c r="J164" s="77"/>
      <c r="K164" s="92"/>
    </row>
    <row r="165" spans="1:11" ht="13" x14ac:dyDescent="0.15">
      <c r="A165" s="14"/>
      <c r="B165" s="14"/>
      <c r="C165" s="14"/>
      <c r="D165" s="16"/>
      <c r="E165" s="16"/>
      <c r="F165" s="14"/>
      <c r="G165" s="14"/>
      <c r="H165" s="14"/>
      <c r="I165" s="15"/>
      <c r="J165" s="77"/>
      <c r="K165" s="92"/>
    </row>
    <row r="166" spans="1:11" ht="13" x14ac:dyDescent="0.15">
      <c r="A166" s="14"/>
      <c r="B166" s="14"/>
      <c r="C166" s="14"/>
      <c r="D166" s="16"/>
      <c r="E166" s="16"/>
      <c r="F166" s="14"/>
      <c r="G166" s="14"/>
      <c r="H166" s="14"/>
      <c r="I166" s="15"/>
      <c r="J166" s="77"/>
      <c r="K166" s="92"/>
    </row>
    <row r="167" spans="1:11" ht="13" x14ac:dyDescent="0.15">
      <c r="A167" s="14"/>
      <c r="B167" s="14"/>
      <c r="C167" s="14"/>
      <c r="D167" s="16"/>
      <c r="E167" s="16"/>
      <c r="F167" s="14"/>
      <c r="G167" s="14"/>
      <c r="H167" s="14"/>
      <c r="I167" s="15"/>
      <c r="J167" s="77"/>
      <c r="K167" s="92"/>
    </row>
    <row r="168" spans="1:11" ht="13" x14ac:dyDescent="0.15">
      <c r="A168" s="14"/>
      <c r="B168" s="14"/>
      <c r="C168" s="14"/>
      <c r="D168" s="16"/>
      <c r="E168" s="16"/>
      <c r="F168" s="14"/>
      <c r="G168" s="14"/>
      <c r="H168" s="14"/>
      <c r="I168" s="15"/>
      <c r="J168" s="77"/>
      <c r="K168" s="92"/>
    </row>
    <row r="169" spans="1:11" ht="13" x14ac:dyDescent="0.15">
      <c r="A169" s="14"/>
      <c r="B169" s="14"/>
      <c r="C169" s="14"/>
      <c r="D169" s="16"/>
      <c r="E169" s="16"/>
      <c r="F169" s="14"/>
      <c r="G169" s="14"/>
      <c r="H169" s="14"/>
      <c r="I169" s="15"/>
      <c r="J169" s="77"/>
      <c r="K169" s="92"/>
    </row>
    <row r="170" spans="1:11" ht="13" x14ac:dyDescent="0.15">
      <c r="A170" s="14"/>
      <c r="B170" s="14"/>
      <c r="C170" s="14"/>
      <c r="D170" s="16"/>
      <c r="E170" s="16"/>
      <c r="F170" s="14"/>
      <c r="G170" s="14"/>
      <c r="H170" s="14"/>
      <c r="I170" s="15"/>
      <c r="J170" s="77"/>
      <c r="K170" s="92"/>
    </row>
    <row r="171" spans="1:11" ht="13" x14ac:dyDescent="0.15">
      <c r="A171" s="14"/>
      <c r="B171" s="14"/>
      <c r="C171" s="14"/>
      <c r="D171" s="16"/>
      <c r="E171" s="16"/>
      <c r="F171" s="14"/>
      <c r="G171" s="14"/>
      <c r="H171" s="14"/>
      <c r="I171" s="15"/>
      <c r="J171" s="77"/>
      <c r="K171" s="92"/>
    </row>
    <row r="172" spans="1:11" ht="13" x14ac:dyDescent="0.15">
      <c r="A172" s="14"/>
      <c r="B172" s="14"/>
      <c r="C172" s="14"/>
      <c r="D172" s="16"/>
      <c r="E172" s="16"/>
      <c r="F172" s="14"/>
      <c r="G172" s="14"/>
      <c r="H172" s="14"/>
      <c r="I172" s="15"/>
      <c r="J172" s="77"/>
      <c r="K172" s="92"/>
    </row>
    <row r="173" spans="1:11" ht="13" x14ac:dyDescent="0.15">
      <c r="A173" s="14"/>
      <c r="B173" s="14"/>
      <c r="C173" s="14"/>
      <c r="D173" s="16"/>
      <c r="E173" s="16"/>
      <c r="F173" s="14"/>
      <c r="G173" s="14"/>
      <c r="H173" s="14"/>
      <c r="I173" s="15"/>
      <c r="J173" s="77"/>
      <c r="K173" s="92"/>
    </row>
    <row r="174" spans="1:11" ht="13" x14ac:dyDescent="0.15">
      <c r="A174" s="14"/>
      <c r="B174" s="14"/>
      <c r="C174" s="14"/>
      <c r="D174" s="16"/>
      <c r="E174" s="16"/>
      <c r="F174" s="14"/>
      <c r="G174" s="14"/>
      <c r="H174" s="14"/>
      <c r="I174" s="15"/>
      <c r="J174" s="77"/>
      <c r="K174" s="92"/>
    </row>
    <row r="175" spans="1:11" ht="13" x14ac:dyDescent="0.15">
      <c r="A175" s="14"/>
      <c r="B175" s="14"/>
      <c r="C175" s="14"/>
      <c r="D175" s="16"/>
      <c r="E175" s="16"/>
      <c r="F175" s="14"/>
      <c r="G175" s="14"/>
      <c r="H175" s="14"/>
      <c r="I175" s="15"/>
      <c r="J175" s="77"/>
      <c r="K175" s="92"/>
    </row>
    <row r="176" spans="1:11" ht="13" x14ac:dyDescent="0.15">
      <c r="A176" s="14"/>
      <c r="B176" s="14"/>
      <c r="C176" s="14"/>
      <c r="D176" s="16"/>
      <c r="E176" s="16"/>
      <c r="F176" s="14"/>
      <c r="G176" s="14"/>
      <c r="H176" s="14"/>
      <c r="I176" s="15"/>
      <c r="J176" s="77"/>
      <c r="K176" s="92"/>
    </row>
    <row r="177" spans="1:11" ht="13" x14ac:dyDescent="0.15">
      <c r="A177" s="14"/>
      <c r="B177" s="14"/>
      <c r="C177" s="14"/>
      <c r="D177" s="16"/>
      <c r="E177" s="16"/>
      <c r="F177" s="14"/>
      <c r="G177" s="14"/>
      <c r="H177" s="14"/>
      <c r="I177" s="15"/>
      <c r="J177" s="77"/>
      <c r="K177" s="92"/>
    </row>
    <row r="178" spans="1:11" ht="13" x14ac:dyDescent="0.15">
      <c r="A178" s="14"/>
      <c r="B178" s="14"/>
      <c r="C178" s="14"/>
      <c r="D178" s="16"/>
      <c r="E178" s="16"/>
      <c r="F178" s="14"/>
      <c r="G178" s="14"/>
      <c r="H178" s="14"/>
      <c r="I178" s="15"/>
      <c r="J178" s="77"/>
      <c r="K178" s="92"/>
    </row>
    <row r="179" spans="1:11" ht="13" x14ac:dyDescent="0.15">
      <c r="A179" s="14"/>
      <c r="B179" s="14"/>
      <c r="C179" s="14"/>
      <c r="D179" s="16"/>
      <c r="E179" s="16"/>
      <c r="F179" s="14"/>
      <c r="G179" s="14"/>
      <c r="H179" s="14"/>
      <c r="I179" s="15"/>
      <c r="J179" s="77"/>
      <c r="K179" s="92"/>
    </row>
    <row r="180" spans="1:11" ht="13" x14ac:dyDescent="0.15">
      <c r="A180" s="14"/>
      <c r="B180" s="14"/>
      <c r="C180" s="14"/>
      <c r="D180" s="16"/>
      <c r="E180" s="16"/>
      <c r="F180" s="14"/>
      <c r="G180" s="14"/>
      <c r="H180" s="14"/>
      <c r="I180" s="15"/>
      <c r="J180" s="77"/>
      <c r="K180" s="92"/>
    </row>
    <row r="181" spans="1:11" ht="13" x14ac:dyDescent="0.15">
      <c r="A181" s="14"/>
      <c r="B181" s="14"/>
      <c r="C181" s="14"/>
      <c r="D181" s="16"/>
      <c r="E181" s="16"/>
      <c r="F181" s="14"/>
      <c r="G181" s="14"/>
      <c r="H181" s="14"/>
      <c r="I181" s="15"/>
      <c r="J181" s="77"/>
      <c r="K181" s="92"/>
    </row>
    <row r="182" spans="1:11" ht="13" x14ac:dyDescent="0.15">
      <c r="A182" s="14"/>
      <c r="B182" s="14"/>
      <c r="C182" s="14"/>
      <c r="D182" s="16"/>
      <c r="E182" s="16"/>
      <c r="F182" s="14"/>
      <c r="G182" s="14"/>
      <c r="H182" s="14"/>
      <c r="I182" s="15"/>
      <c r="J182" s="77"/>
      <c r="K182" s="92"/>
    </row>
    <row r="183" spans="1:11" ht="13" x14ac:dyDescent="0.15">
      <c r="A183" s="14"/>
      <c r="B183" s="14"/>
      <c r="C183" s="14"/>
      <c r="D183" s="16"/>
      <c r="E183" s="16"/>
      <c r="F183" s="14"/>
      <c r="G183" s="14"/>
      <c r="H183" s="14"/>
      <c r="I183" s="15"/>
      <c r="J183" s="77"/>
      <c r="K183" s="92"/>
    </row>
    <row r="184" spans="1:11" ht="13" x14ac:dyDescent="0.15">
      <c r="A184" s="14"/>
      <c r="B184" s="14"/>
      <c r="C184" s="14"/>
      <c r="D184" s="16"/>
      <c r="E184" s="16"/>
      <c r="F184" s="14"/>
      <c r="G184" s="14"/>
      <c r="H184" s="14"/>
      <c r="I184" s="15"/>
      <c r="J184" s="77"/>
      <c r="K184" s="92"/>
    </row>
    <row r="185" spans="1:11" ht="13" x14ac:dyDescent="0.15">
      <c r="A185" s="14"/>
      <c r="B185" s="14"/>
      <c r="C185" s="14"/>
      <c r="D185" s="16"/>
      <c r="E185" s="16"/>
      <c r="F185" s="14"/>
      <c r="G185" s="14"/>
      <c r="H185" s="14"/>
      <c r="I185" s="15"/>
      <c r="J185" s="77"/>
      <c r="K185" s="92"/>
    </row>
    <row r="186" spans="1:11" ht="13" x14ac:dyDescent="0.15">
      <c r="A186" s="14"/>
      <c r="B186" s="14"/>
      <c r="C186" s="14"/>
      <c r="D186" s="16"/>
      <c r="E186" s="16"/>
      <c r="F186" s="14"/>
      <c r="G186" s="14"/>
      <c r="H186" s="14"/>
      <c r="I186" s="15"/>
      <c r="J186" s="77"/>
      <c r="K186" s="92"/>
    </row>
    <row r="187" spans="1:11" ht="13" x14ac:dyDescent="0.15">
      <c r="A187" s="14"/>
      <c r="B187" s="14"/>
      <c r="C187" s="14"/>
      <c r="D187" s="16"/>
      <c r="E187" s="16"/>
      <c r="F187" s="14"/>
      <c r="G187" s="14"/>
      <c r="H187" s="14"/>
      <c r="I187" s="15"/>
      <c r="J187" s="77"/>
      <c r="K187" s="92"/>
    </row>
    <row r="188" spans="1:11" ht="13" x14ac:dyDescent="0.15">
      <c r="A188" s="14"/>
      <c r="B188" s="14"/>
      <c r="C188" s="14"/>
      <c r="D188" s="16"/>
      <c r="E188" s="16"/>
      <c r="F188" s="14"/>
      <c r="G188" s="14"/>
      <c r="H188" s="14"/>
      <c r="I188" s="15"/>
      <c r="J188" s="77"/>
      <c r="K188" s="92"/>
    </row>
    <row r="189" spans="1:11" ht="13" x14ac:dyDescent="0.15">
      <c r="A189" s="14"/>
      <c r="B189" s="14"/>
      <c r="C189" s="14"/>
      <c r="D189" s="16"/>
      <c r="E189" s="16"/>
      <c r="F189" s="14"/>
      <c r="G189" s="14"/>
      <c r="H189" s="14"/>
      <c r="I189" s="15"/>
      <c r="J189" s="77"/>
      <c r="K189" s="92"/>
    </row>
    <row r="190" spans="1:11" ht="13" x14ac:dyDescent="0.15">
      <c r="A190" s="14"/>
      <c r="B190" s="14"/>
      <c r="C190" s="14"/>
      <c r="D190" s="16"/>
      <c r="E190" s="16"/>
      <c r="F190" s="14"/>
      <c r="G190" s="14"/>
      <c r="H190" s="14"/>
      <c r="I190" s="15"/>
      <c r="J190" s="77"/>
      <c r="K190" s="92"/>
    </row>
    <row r="191" spans="1:11" ht="13" x14ac:dyDescent="0.15">
      <c r="A191" s="14"/>
      <c r="B191" s="14"/>
      <c r="C191" s="14"/>
      <c r="D191" s="16"/>
      <c r="E191" s="16"/>
      <c r="F191" s="14"/>
      <c r="G191" s="14"/>
      <c r="H191" s="14"/>
      <c r="I191" s="15"/>
      <c r="J191" s="77"/>
      <c r="K191" s="92"/>
    </row>
    <row r="192" spans="1:11" ht="13" x14ac:dyDescent="0.15">
      <c r="A192" s="14"/>
      <c r="B192" s="14"/>
      <c r="C192" s="14"/>
      <c r="D192" s="16"/>
      <c r="E192" s="16"/>
      <c r="F192" s="14"/>
      <c r="G192" s="14"/>
      <c r="H192" s="14"/>
      <c r="I192" s="15"/>
      <c r="J192" s="77"/>
      <c r="K192" s="92"/>
    </row>
    <row r="193" spans="1:11" ht="13" x14ac:dyDescent="0.15">
      <c r="A193" s="14"/>
      <c r="B193" s="14"/>
      <c r="C193" s="14"/>
      <c r="D193" s="16"/>
      <c r="E193" s="16"/>
      <c r="F193" s="14"/>
      <c r="G193" s="14"/>
      <c r="H193" s="14"/>
      <c r="I193" s="15"/>
      <c r="J193" s="77"/>
      <c r="K193" s="92"/>
    </row>
    <row r="194" spans="1:11" ht="13" x14ac:dyDescent="0.15">
      <c r="A194" s="14"/>
      <c r="B194" s="14"/>
      <c r="C194" s="14"/>
      <c r="D194" s="16"/>
      <c r="E194" s="16"/>
      <c r="F194" s="14"/>
      <c r="G194" s="14"/>
      <c r="H194" s="14"/>
      <c r="I194" s="15"/>
      <c r="J194" s="77"/>
      <c r="K194" s="92"/>
    </row>
    <row r="195" spans="1:11" ht="13" x14ac:dyDescent="0.15">
      <c r="A195" s="14"/>
      <c r="B195" s="14"/>
      <c r="C195" s="14"/>
      <c r="D195" s="16"/>
      <c r="E195" s="16"/>
      <c r="F195" s="14"/>
      <c r="G195" s="14"/>
      <c r="H195" s="14"/>
      <c r="I195" s="15"/>
      <c r="J195" s="77"/>
      <c r="K195" s="92"/>
    </row>
    <row r="196" spans="1:11" ht="13" x14ac:dyDescent="0.15">
      <c r="A196" s="14"/>
      <c r="B196" s="14"/>
      <c r="C196" s="14"/>
      <c r="D196" s="16"/>
      <c r="E196" s="16"/>
      <c r="F196" s="14"/>
      <c r="G196" s="14"/>
      <c r="H196" s="14"/>
      <c r="I196" s="15"/>
      <c r="J196" s="77"/>
      <c r="K196" s="92"/>
    </row>
    <row r="197" spans="1:11" ht="13" x14ac:dyDescent="0.15">
      <c r="A197" s="14"/>
      <c r="B197" s="14"/>
      <c r="C197" s="14"/>
      <c r="D197" s="16"/>
      <c r="E197" s="16"/>
      <c r="F197" s="14"/>
      <c r="G197" s="14"/>
      <c r="H197" s="14"/>
      <c r="I197" s="15"/>
      <c r="J197" s="77"/>
      <c r="K197" s="92"/>
    </row>
    <row r="198" spans="1:11" ht="13" x14ac:dyDescent="0.15">
      <c r="A198" s="14"/>
      <c r="B198" s="14"/>
      <c r="C198" s="14"/>
      <c r="D198" s="16"/>
      <c r="E198" s="16"/>
      <c r="F198" s="14"/>
      <c r="G198" s="14"/>
      <c r="H198" s="14"/>
      <c r="I198" s="15"/>
      <c r="J198" s="77"/>
      <c r="K198" s="92"/>
    </row>
    <row r="199" spans="1:11" ht="13" x14ac:dyDescent="0.15">
      <c r="A199" s="14"/>
      <c r="B199" s="14"/>
      <c r="C199" s="14"/>
      <c r="D199" s="16"/>
      <c r="E199" s="16"/>
      <c r="F199" s="14"/>
      <c r="G199" s="14"/>
      <c r="H199" s="14"/>
      <c r="I199" s="15"/>
      <c r="J199" s="77"/>
      <c r="K199" s="92"/>
    </row>
    <row r="200" spans="1:11" ht="13" x14ac:dyDescent="0.15">
      <c r="A200" s="14"/>
      <c r="B200" s="14"/>
      <c r="C200" s="14"/>
      <c r="D200" s="16"/>
      <c r="E200" s="16"/>
      <c r="F200" s="14"/>
      <c r="G200" s="14"/>
      <c r="H200" s="14"/>
      <c r="I200" s="15"/>
      <c r="J200" s="77"/>
      <c r="K200" s="92"/>
    </row>
    <row r="201" spans="1:11" ht="13" x14ac:dyDescent="0.15">
      <c r="A201" s="14"/>
      <c r="B201" s="14"/>
      <c r="C201" s="14"/>
      <c r="D201" s="16"/>
      <c r="E201" s="16"/>
      <c r="F201" s="14"/>
      <c r="G201" s="14"/>
      <c r="H201" s="14"/>
      <c r="I201" s="15"/>
      <c r="J201" s="77"/>
      <c r="K201" s="92"/>
    </row>
    <row r="202" spans="1:11" ht="13" x14ac:dyDescent="0.15">
      <c r="A202" s="14"/>
      <c r="B202" s="14"/>
      <c r="C202" s="14"/>
      <c r="D202" s="16"/>
      <c r="E202" s="16"/>
      <c r="F202" s="14"/>
      <c r="G202" s="14"/>
      <c r="H202" s="14"/>
      <c r="I202" s="15"/>
      <c r="J202" s="77"/>
      <c r="K202" s="92"/>
    </row>
    <row r="203" spans="1:11" ht="13" x14ac:dyDescent="0.15">
      <c r="A203" s="14"/>
      <c r="B203" s="14"/>
      <c r="C203" s="14"/>
      <c r="D203" s="16"/>
      <c r="E203" s="16"/>
      <c r="F203" s="14"/>
      <c r="G203" s="14"/>
      <c r="H203" s="14"/>
      <c r="I203" s="15"/>
      <c r="J203" s="77"/>
      <c r="K203" s="92"/>
    </row>
    <row r="204" spans="1:11" ht="13" x14ac:dyDescent="0.15">
      <c r="A204" s="14"/>
      <c r="B204" s="14"/>
      <c r="C204" s="14"/>
      <c r="D204" s="16"/>
      <c r="E204" s="16"/>
      <c r="F204" s="14"/>
      <c r="G204" s="14"/>
      <c r="H204" s="14"/>
      <c r="I204" s="15"/>
      <c r="J204" s="77"/>
      <c r="K204" s="92"/>
    </row>
    <row r="205" spans="1:11" ht="13" x14ac:dyDescent="0.15">
      <c r="A205" s="14"/>
      <c r="B205" s="14"/>
      <c r="C205" s="14"/>
      <c r="D205" s="16"/>
      <c r="E205" s="16"/>
      <c r="F205" s="14"/>
      <c r="G205" s="14"/>
      <c r="H205" s="14"/>
      <c r="I205" s="15"/>
      <c r="J205" s="77"/>
      <c r="K205" s="92"/>
    </row>
    <row r="206" spans="1:11" ht="13" x14ac:dyDescent="0.15">
      <c r="A206" s="14"/>
      <c r="B206" s="14"/>
      <c r="C206" s="14"/>
      <c r="D206" s="16"/>
      <c r="E206" s="16"/>
      <c r="F206" s="14"/>
      <c r="G206" s="14"/>
      <c r="H206" s="14"/>
      <c r="I206" s="15"/>
      <c r="J206" s="77"/>
      <c r="K206" s="92"/>
    </row>
    <row r="207" spans="1:11" ht="13" x14ac:dyDescent="0.15">
      <c r="A207" s="14"/>
      <c r="B207" s="14"/>
      <c r="C207" s="14"/>
      <c r="D207" s="16"/>
      <c r="E207" s="16"/>
      <c r="F207" s="14"/>
      <c r="G207" s="14"/>
      <c r="H207" s="14"/>
      <c r="I207" s="15"/>
      <c r="J207" s="77"/>
      <c r="K207" s="92"/>
    </row>
    <row r="208" spans="1:11" ht="13" x14ac:dyDescent="0.15">
      <c r="A208" s="14"/>
      <c r="B208" s="14"/>
      <c r="C208" s="14"/>
      <c r="D208" s="16"/>
      <c r="E208" s="16"/>
      <c r="F208" s="14"/>
      <c r="G208" s="14"/>
      <c r="H208" s="14"/>
      <c r="I208" s="15"/>
      <c r="J208" s="77"/>
      <c r="K208" s="92"/>
    </row>
    <row r="209" spans="1:11" ht="13" x14ac:dyDescent="0.15">
      <c r="A209" s="14"/>
      <c r="B209" s="14"/>
      <c r="C209" s="14"/>
      <c r="D209" s="16"/>
      <c r="E209" s="16"/>
      <c r="F209" s="14"/>
      <c r="G209" s="14"/>
      <c r="H209" s="14"/>
      <c r="I209" s="15"/>
      <c r="J209" s="77"/>
      <c r="K209" s="92"/>
    </row>
    <row r="210" spans="1:11" ht="13" x14ac:dyDescent="0.15">
      <c r="A210" s="14"/>
      <c r="B210" s="14"/>
      <c r="C210" s="14"/>
      <c r="D210" s="16"/>
      <c r="E210" s="16"/>
      <c r="F210" s="14"/>
      <c r="G210" s="14"/>
      <c r="H210" s="14"/>
      <c r="I210" s="15"/>
      <c r="J210" s="77"/>
      <c r="K210" s="92"/>
    </row>
    <row r="211" spans="1:11" ht="13" x14ac:dyDescent="0.15">
      <c r="A211" s="14"/>
      <c r="B211" s="14"/>
      <c r="C211" s="14"/>
      <c r="D211" s="16"/>
      <c r="E211" s="16"/>
      <c r="F211" s="14"/>
      <c r="G211" s="14"/>
      <c r="H211" s="14"/>
      <c r="I211" s="15"/>
      <c r="J211" s="77"/>
      <c r="K211" s="92"/>
    </row>
    <row r="212" spans="1:11" ht="13" x14ac:dyDescent="0.15">
      <c r="A212" s="14"/>
      <c r="B212" s="14"/>
      <c r="C212" s="14"/>
      <c r="D212" s="16"/>
      <c r="E212" s="16"/>
      <c r="F212" s="14"/>
      <c r="G212" s="14"/>
      <c r="H212" s="14"/>
      <c r="I212" s="15"/>
      <c r="J212" s="77"/>
      <c r="K212" s="92"/>
    </row>
    <row r="213" spans="1:11" ht="13" x14ac:dyDescent="0.15">
      <c r="A213" s="14"/>
      <c r="B213" s="14"/>
      <c r="C213" s="14"/>
      <c r="D213" s="16"/>
      <c r="E213" s="16"/>
      <c r="F213" s="14"/>
      <c r="G213" s="14"/>
      <c r="H213" s="14"/>
      <c r="I213" s="15"/>
      <c r="J213" s="77"/>
      <c r="K213" s="92"/>
    </row>
    <row r="214" spans="1:11" ht="13" x14ac:dyDescent="0.15">
      <c r="A214" s="14"/>
      <c r="B214" s="14"/>
      <c r="C214" s="14"/>
      <c r="D214" s="16"/>
      <c r="E214" s="16"/>
      <c r="F214" s="14"/>
      <c r="G214" s="14"/>
      <c r="H214" s="14"/>
      <c r="I214" s="15"/>
      <c r="J214" s="77"/>
      <c r="K214" s="92"/>
    </row>
    <row r="215" spans="1:11" ht="13" x14ac:dyDescent="0.15">
      <c r="A215" s="14"/>
      <c r="B215" s="14"/>
      <c r="C215" s="14"/>
      <c r="D215" s="16"/>
      <c r="E215" s="16"/>
      <c r="F215" s="14"/>
      <c r="G215" s="14"/>
      <c r="H215" s="14"/>
      <c r="I215" s="15"/>
      <c r="J215" s="77"/>
      <c r="K215" s="92"/>
    </row>
    <row r="216" spans="1:11" ht="13" x14ac:dyDescent="0.15">
      <c r="A216" s="14"/>
      <c r="B216" s="14"/>
      <c r="C216" s="14"/>
      <c r="D216" s="16"/>
      <c r="E216" s="16"/>
      <c r="F216" s="14"/>
      <c r="G216" s="14"/>
      <c r="H216" s="14"/>
      <c r="I216" s="15"/>
      <c r="J216" s="77"/>
      <c r="K216" s="92"/>
    </row>
    <row r="217" spans="1:11" ht="13" x14ac:dyDescent="0.15">
      <c r="A217" s="14"/>
      <c r="B217" s="14"/>
      <c r="C217" s="14"/>
      <c r="D217" s="16"/>
      <c r="E217" s="16"/>
      <c r="F217" s="14"/>
      <c r="G217" s="14"/>
      <c r="H217" s="14"/>
      <c r="I217" s="15"/>
      <c r="J217" s="77"/>
      <c r="K217" s="92"/>
    </row>
    <row r="218" spans="1:11" ht="13" x14ac:dyDescent="0.15">
      <c r="A218" s="14"/>
      <c r="B218" s="14"/>
      <c r="C218" s="14"/>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x14ac:dyDescent="0.15">
      <c r="A4487" s="14"/>
      <c r="B4487" s="14"/>
      <c r="C4487" s="14"/>
      <c r="D4487" s="16"/>
      <c r="E4487" s="16"/>
      <c r="F4487" s="14"/>
      <c r="G4487" s="14"/>
      <c r="H4487" s="14"/>
      <c r="I4487" s="15"/>
      <c r="J4487" s="77"/>
    </row>
    <row r="4488" spans="1:11" x14ac:dyDescent="0.15">
      <c r="A4488" s="14"/>
      <c r="B4488" s="14"/>
      <c r="C4488" s="14"/>
      <c r="D4488" s="16"/>
      <c r="E4488" s="16"/>
      <c r="F4488" s="14"/>
      <c r="G4488" s="14"/>
      <c r="H4488" s="14"/>
      <c r="I4488" s="15"/>
      <c r="J4488" s="77"/>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25400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ht="12" x14ac:dyDescent="0.15">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ht="12" x14ac:dyDescent="0.15">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ht="12" x14ac:dyDescent="0.15">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ht="12" x14ac:dyDescent="0.15">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12" x14ac:dyDescent="0.15">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ht="12" x14ac:dyDescent="0.15">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ht="12" x14ac:dyDescent="0.15">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ht="12" x14ac:dyDescent="0.15">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ht="12" x14ac:dyDescent="0.15">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12" x14ac:dyDescent="0.15">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ht="12" x14ac:dyDescent="0.15">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ht="12" x14ac:dyDescent="0.15">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ht="12" x14ac:dyDescent="0.15">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12" x14ac:dyDescent="0.15">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ht="12" x14ac:dyDescent="0.15">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ht="12" x14ac:dyDescent="0.15">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ht="12" x14ac:dyDescent="0.15">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ht="12" x14ac:dyDescent="0.15">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ht="12" x14ac:dyDescent="0.15">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ht="12" x14ac:dyDescent="0.15">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ht="12" x14ac:dyDescent="0.15">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ht="12" x14ac:dyDescent="0.15">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ht="12" x14ac:dyDescent="0.15">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12" x14ac:dyDescent="0.15">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ht="12" x14ac:dyDescent="0.15">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ht="12" x14ac:dyDescent="0.15">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ht="12" x14ac:dyDescent="0.15">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ht="12" x14ac:dyDescent="0.15">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ht="12" x14ac:dyDescent="0.15">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ht="12" x14ac:dyDescent="0.15">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ht="12" x14ac:dyDescent="0.15">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ht="12" x14ac:dyDescent="0.15">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ht="12" x14ac:dyDescent="0.15">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ht="12" x14ac:dyDescent="0.15">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ht="12" x14ac:dyDescent="0.15">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ht="12" x14ac:dyDescent="0.15">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ht="12" x14ac:dyDescent="0.15">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ht="12" x14ac:dyDescent="0.15">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ht="12" x14ac:dyDescent="0.15">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ht="12" x14ac:dyDescent="0.15">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ht="12" x14ac:dyDescent="0.15">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ht="12" x14ac:dyDescent="0.15">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ht="12" x14ac:dyDescent="0.15">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ht="12" x14ac:dyDescent="0.15">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ht="12" x14ac:dyDescent="0.15">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ht="12" x14ac:dyDescent="0.15">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ht="12" x14ac:dyDescent="0.15">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12" x14ac:dyDescent="0.15">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ht="12" x14ac:dyDescent="0.15">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ht="12" x14ac:dyDescent="0.15">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ht="12" x14ac:dyDescent="0.15">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ht="12" x14ac:dyDescent="0.15">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ht="12" x14ac:dyDescent="0.15">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ht="12" x14ac:dyDescent="0.15">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ht="12" x14ac:dyDescent="0.15">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ht="12" x14ac:dyDescent="0.15">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ht="12" x14ac:dyDescent="0.15">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ht="12" x14ac:dyDescent="0.15">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ht="12" x14ac:dyDescent="0.15">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ht="12" x14ac:dyDescent="0.15">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ht="12" x14ac:dyDescent="0.15">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ht="12" x14ac:dyDescent="0.15">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ht="12" x14ac:dyDescent="0.15">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ht="12" x14ac:dyDescent="0.15">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ht="12" x14ac:dyDescent="0.15">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ht="12" x14ac:dyDescent="0.15">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ht="12" x14ac:dyDescent="0.15">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ht="12" x14ac:dyDescent="0.15">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ht="12" x14ac:dyDescent="0.15">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ht="12" x14ac:dyDescent="0.15">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15">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15">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15">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15">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15">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15">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15">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15">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15">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15">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15">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15">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15">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15">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15">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15">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15">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15">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15">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15">
      <c r="A91" s="203"/>
      <c r="B91" s="287"/>
      <c r="C91" s="287"/>
      <c r="D91" s="287"/>
      <c r="E91" s="287"/>
      <c r="F91" s="287"/>
      <c r="G91" s="287"/>
      <c r="H91" s="287"/>
      <c r="I91" s="287"/>
      <c r="J91" s="287"/>
      <c r="K91" s="287"/>
      <c r="L91" s="288"/>
      <c r="M91" s="287"/>
      <c r="N91" s="287"/>
      <c r="O91" s="287"/>
      <c r="P91" s="287"/>
      <c r="R91" s="276">
        <f t="shared" si="2"/>
        <v>0</v>
      </c>
    </row>
    <row r="92" spans="1:18" x14ac:dyDescent="0.15">
      <c r="A92" s="203"/>
      <c r="B92" s="287"/>
      <c r="C92" s="287"/>
      <c r="D92" s="287"/>
      <c r="E92" s="287"/>
      <c r="F92" s="287"/>
      <c r="G92" s="287"/>
      <c r="H92" s="287"/>
      <c r="I92" s="287"/>
      <c r="J92" s="287"/>
      <c r="K92" s="287"/>
      <c r="L92" s="288"/>
      <c r="M92" s="287"/>
      <c r="N92" s="287"/>
      <c r="O92" s="287"/>
      <c r="P92" s="287"/>
      <c r="R92" s="276">
        <f t="shared" si="2"/>
        <v>0</v>
      </c>
    </row>
    <row r="93" spans="1:18" x14ac:dyDescent="0.15">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15">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15">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15">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15">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15">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ht="12" x14ac:dyDescent="0.15">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ht="12" x14ac:dyDescent="0.15">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ht="12" x14ac:dyDescent="0.15">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ht="12" x14ac:dyDescent="0.15">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ht="12" x14ac:dyDescent="0.15">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15">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ht="12" x14ac:dyDescent="0.15">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ht="12" x14ac:dyDescent="0.15">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15">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ht="12" x14ac:dyDescent="0.15">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15">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ht="12" x14ac:dyDescent="0.15">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ht="12" x14ac:dyDescent="0.15">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15">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15">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ht="12" x14ac:dyDescent="0.15">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15">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ht="12" x14ac:dyDescent="0.15">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15">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15">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15">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15">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15">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15">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ht="12" x14ac:dyDescent="0.15">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15">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15">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15">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15">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15">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15">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ht="12" x14ac:dyDescent="0.15">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15">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15">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15">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15">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15">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ht="12" x14ac:dyDescent="0.15">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15">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15">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15">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ht="12" x14ac:dyDescent="0.15">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15">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ht="12" x14ac:dyDescent="0.15">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15">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ht="12" x14ac:dyDescent="0.15">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ht="12" x14ac:dyDescent="0.15">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15">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15">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ht="12" x14ac:dyDescent="0.15">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15">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15">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15">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15">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15">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15">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ht="12" x14ac:dyDescent="0.15">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ht="12" x14ac:dyDescent="0.15">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ht="12" x14ac:dyDescent="0.15">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15">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15">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15">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15">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15">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ht="12" x14ac:dyDescent="0.15">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ht="12" x14ac:dyDescent="0.15">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15">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15">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ht="12" x14ac:dyDescent="0.15">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ht="12" x14ac:dyDescent="0.15">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15">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15">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15">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15">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15">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15">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15">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15">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15">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ht="12" x14ac:dyDescent="0.15">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ht="12" x14ac:dyDescent="0.15">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ht="12" x14ac:dyDescent="0.15">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15">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15">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ht="12" x14ac:dyDescent="0.15">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15">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ht="12" x14ac:dyDescent="0.15">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15">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ht="12" x14ac:dyDescent="0.15">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ht="12" x14ac:dyDescent="0.15">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15">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15">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15">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15">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15">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15">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15">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15">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15">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ht="12" x14ac:dyDescent="0.15">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ht="12" x14ac:dyDescent="0.15">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15">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ht="12" x14ac:dyDescent="0.15">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15">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ht="12" x14ac:dyDescent="0.15">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15">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15">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15">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ht="12" x14ac:dyDescent="0.15">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ht="12" x14ac:dyDescent="0.15">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15">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ht="12" x14ac:dyDescent="0.15">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15">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15">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15">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12" x14ac:dyDescent="0.15">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15">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15">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ht="12" x14ac:dyDescent="0.15">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15">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15">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15">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ht="12" x14ac:dyDescent="0.15">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ht="12" x14ac:dyDescent="0.15">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ht="12" x14ac:dyDescent="0.15">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ht="12" x14ac:dyDescent="0.15">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15">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15">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15">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15">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15">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ht="12" x14ac:dyDescent="0.15">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15">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15">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15">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15">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ht="12" x14ac:dyDescent="0.15">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15">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15">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15">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15">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15">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15">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ht="12" x14ac:dyDescent="0.15">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15">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15">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15">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15">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15">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15">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4" x14ac:dyDescent="0.15">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4" x14ac:dyDescent="0.15">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15">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15">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15">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ht="12" x14ac:dyDescent="0.15">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15">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ht="12" x14ac:dyDescent="0.15">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15">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ht="12" x14ac:dyDescent="0.15">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15">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15">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ht="12" x14ac:dyDescent="0.15">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ht="12" x14ac:dyDescent="0.15">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15">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15">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15">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ht="12" x14ac:dyDescent="0.15">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15">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15">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ht="12" x14ac:dyDescent="0.15">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15">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ht="12" x14ac:dyDescent="0.15">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ht="12" x14ac:dyDescent="0.15">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ht="12" x14ac:dyDescent="0.15">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15">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ht="12" x14ac:dyDescent="0.15">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15">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ht="12" x14ac:dyDescent="0.15">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15">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15">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ht="12" x14ac:dyDescent="0.15">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15">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ht="12" x14ac:dyDescent="0.15">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ht="12" x14ac:dyDescent="0.15">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15">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15">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15">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15">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15">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ht="12" x14ac:dyDescent="0.15">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ht="12" x14ac:dyDescent="0.15">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15">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ht="12" x14ac:dyDescent="0.15">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ht="12" x14ac:dyDescent="0.15">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15">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15">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15">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ht="12" x14ac:dyDescent="0.15">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15">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15">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15">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15">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15">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15">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ht="12" x14ac:dyDescent="0.15">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15">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15">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15">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15">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ht="12" x14ac:dyDescent="0.15">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15">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15">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15">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ht="12" x14ac:dyDescent="0.15">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12" x14ac:dyDescent="0.15">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15">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15">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15">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15">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ht="12" x14ac:dyDescent="0.15">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15">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15">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ht="12" x14ac:dyDescent="0.15">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ht="12" x14ac:dyDescent="0.15">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ht="12" x14ac:dyDescent="0.15">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15">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15">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15">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15">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15">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ht="12" x14ac:dyDescent="0.15">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15">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ht="12" x14ac:dyDescent="0.15">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15">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15">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ht="12" x14ac:dyDescent="0.15">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ht="12" x14ac:dyDescent="0.15">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15">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ht="12" x14ac:dyDescent="0.15">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15">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15">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15">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15">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15">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15">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ht="12" x14ac:dyDescent="0.15">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15">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15">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15">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15">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15">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15">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15">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15">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ht="12" x14ac:dyDescent="0.15">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15">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15">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ht="12" x14ac:dyDescent="0.15">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15">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15">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15">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15">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15">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15">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15">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15">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15">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15">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15">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15">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15">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15">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15">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15">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ht="12" x14ac:dyDescent="0.15">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15">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15">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15">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15">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15">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15">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ht="12" x14ac:dyDescent="0.15">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15">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ht="12" x14ac:dyDescent="0.15">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15">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15">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15">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15">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ht="12" x14ac:dyDescent="0.15">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ht="12" x14ac:dyDescent="0.15">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15">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15">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ht="12" x14ac:dyDescent="0.15">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15">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15">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15">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15">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15">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ht="12" x14ac:dyDescent="0.15">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ht="12" x14ac:dyDescent="0.15">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15">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ht="12" x14ac:dyDescent="0.15">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15">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15">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ht="12" x14ac:dyDescent="0.15">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15">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15">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15">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15">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15">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15">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ht="12" x14ac:dyDescent="0.15">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15">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15">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15">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15">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15">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15">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15">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15">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15">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15">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15">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15">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15">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15">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15">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15">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15">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15">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15">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15">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15">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15">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15">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15">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15">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15">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15">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15">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15">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15">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15">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15">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15">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15">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15">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15">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15">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15">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15">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15">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15">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15">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15">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15">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15">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15">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15">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15">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15">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15">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15">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15">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15">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15">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15">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15">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15">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15">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15">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15">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15">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15">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15">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15">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15">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15">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15">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15">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15">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15">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15">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15">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15">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15">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15">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15">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15">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15">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15">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15">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15">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15">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15">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15">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15">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15">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15">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15">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15">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15">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15">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15">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15">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15">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15">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15">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15">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15">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15">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15">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15">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15">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15">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15">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15">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15">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15">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15">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15">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15">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15">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15">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15">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15">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15">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15">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15">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15">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15">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15">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15">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15">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15">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15">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15">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15">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15">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15">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15">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15">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15">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15">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15">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15">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15">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15">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15">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15">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15">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15">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15">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15">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15">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15">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15">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15">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15">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15">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15">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15">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15">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15">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15">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15">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15">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15">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15">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15">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15">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15">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15">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15">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15">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15">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15">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15">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15">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15">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15">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15">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15">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15">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15">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15">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15">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15">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15">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15">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15">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15">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15">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15">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15">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15">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15">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15">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15">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15">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15">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15">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15">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15">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15">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15">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15">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15">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15">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15">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15">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15">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15">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15">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15">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15">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15">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15">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15">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15">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15">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15">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15">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15">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15">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15">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15">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15">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15">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15">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15">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15">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15">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15">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15">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15">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15">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15">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15">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15">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15">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15">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15">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15">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15">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15">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15">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15">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15">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15">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15">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15">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15">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15">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15">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15">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15">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15">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15">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15">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15">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15">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15">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15">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15">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15">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15">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15">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15">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15">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15">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15">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15">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15">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15">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15">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15">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15">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15">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15">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15">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15">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15">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15">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15">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15">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15">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15">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15">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15">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15">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15">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15">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15">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15">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15">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15">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15">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15">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15">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15">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15">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15">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15">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15">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15">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15">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15">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15">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15">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15">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15">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15">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15">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15">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15">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15">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15">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15">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15">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15">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15">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15">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15">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15">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15">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15">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15">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15">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15">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15">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15">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15">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15">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15">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15">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15">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15">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15">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15">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15">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15">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15">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15">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15">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15">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15">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15">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15">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15">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15">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15">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15">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15">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15">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15">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15">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15">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15">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15">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15">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15">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15">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15">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15">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15">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15">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15">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15">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15">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15">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15">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15">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15">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15">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15">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15">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15">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15">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15">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15">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15">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15">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15">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15">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15">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15">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15">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15">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15">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15">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15">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15">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15">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15">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15">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15">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15">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15">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15">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15">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15">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15">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15">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15">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15">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15">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15">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15">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15">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15">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15">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15">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15">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15">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15">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15">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15">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15">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15">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15">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15">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15">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15">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15">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15">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15">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15">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15">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15">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15">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15">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15">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15">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15">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15">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15">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15">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15">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15">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15">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15">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15">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15">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15">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15">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15">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15">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15">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15">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15">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15">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15">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15">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15">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15">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15">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15">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15">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15">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15">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15">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15">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15">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15">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15">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15">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15">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15">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15">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15">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15">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15">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15">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15">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15">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15">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15">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15">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15">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15">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15">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15">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1212</v>
      </c>
      <c r="B1" s="2"/>
      <c r="C1" s="2" t="s">
        <v>372</v>
      </c>
      <c r="D1" s="2" t="s">
        <v>1614</v>
      </c>
      <c r="E1" s="2" t="s">
        <v>1615</v>
      </c>
      <c r="F1" s="2" t="s">
        <v>351</v>
      </c>
      <c r="G1" s="2" t="s">
        <v>1616</v>
      </c>
      <c r="H1" s="2"/>
      <c r="I1" s="2" t="s">
        <v>351</v>
      </c>
      <c r="J1" s="2" t="s">
        <v>1617</v>
      </c>
      <c r="K1" s="2"/>
      <c r="L1" s="2"/>
      <c r="M1" s="2"/>
      <c r="N1" s="2"/>
    </row>
    <row r="2" spans="1:14" x14ac:dyDescent="0.15">
      <c r="A2" t="s">
        <v>1618</v>
      </c>
      <c r="C2" t="s">
        <v>375</v>
      </c>
      <c r="D2" t="s">
        <v>1619</v>
      </c>
      <c r="E2">
        <v>1</v>
      </c>
      <c r="F2" t="s">
        <v>355</v>
      </c>
      <c r="G2" t="s">
        <v>1620</v>
      </c>
      <c r="I2" t="s">
        <v>353</v>
      </c>
      <c r="J2" t="s">
        <v>1621</v>
      </c>
    </row>
    <row r="3" spans="1:14" x14ac:dyDescent="0.15">
      <c r="A3" t="s">
        <v>1235</v>
      </c>
      <c r="C3" t="s">
        <v>377</v>
      </c>
      <c r="D3" t="s">
        <v>1622</v>
      </c>
      <c r="E3">
        <v>1</v>
      </c>
      <c r="F3" t="s">
        <v>355</v>
      </c>
      <c r="G3" t="s">
        <v>1620</v>
      </c>
      <c r="I3" t="s">
        <v>355</v>
      </c>
      <c r="J3" t="s">
        <v>356</v>
      </c>
    </row>
    <row r="4" spans="1:14" x14ac:dyDescent="0.15">
      <c r="A4" t="s">
        <v>1375</v>
      </c>
      <c r="C4" t="s">
        <v>379</v>
      </c>
      <c r="D4" t="s">
        <v>1623</v>
      </c>
      <c r="E4">
        <v>1</v>
      </c>
      <c r="F4" t="s">
        <v>355</v>
      </c>
      <c r="G4" t="s">
        <v>1620</v>
      </c>
      <c r="I4" t="s">
        <v>357</v>
      </c>
      <c r="J4" t="s">
        <v>358</v>
      </c>
    </row>
    <row r="5" spans="1:14" x14ac:dyDescent="0.15">
      <c r="A5" t="s">
        <v>1257</v>
      </c>
      <c r="C5" t="s">
        <v>381</v>
      </c>
      <c r="D5" t="s">
        <v>1624</v>
      </c>
      <c r="E5">
        <v>1</v>
      </c>
      <c r="F5" t="s">
        <v>355</v>
      </c>
      <c r="G5" t="s">
        <v>1620</v>
      </c>
      <c r="I5" t="s">
        <v>359</v>
      </c>
      <c r="J5" t="s">
        <v>360</v>
      </c>
    </row>
    <row r="6" spans="1:14" x14ac:dyDescent="0.15">
      <c r="A6" t="s">
        <v>1625</v>
      </c>
      <c r="C6" t="s">
        <v>383</v>
      </c>
      <c r="D6" t="s">
        <v>1626</v>
      </c>
      <c r="E6">
        <v>1</v>
      </c>
      <c r="F6" t="s">
        <v>355</v>
      </c>
      <c r="G6" t="s">
        <v>1620</v>
      </c>
      <c r="I6" t="s">
        <v>361</v>
      </c>
      <c r="J6" t="s">
        <v>1627</v>
      </c>
    </row>
    <row r="7" spans="1:14" x14ac:dyDescent="0.15">
      <c r="A7" t="s">
        <v>1628</v>
      </c>
      <c r="C7" t="s">
        <v>385</v>
      </c>
      <c r="D7" t="s">
        <v>1629</v>
      </c>
      <c r="E7">
        <v>2</v>
      </c>
      <c r="F7" t="s">
        <v>357</v>
      </c>
      <c r="G7" t="s">
        <v>1630</v>
      </c>
    </row>
    <row r="8" spans="1:14" x14ac:dyDescent="0.15">
      <c r="A8" t="s">
        <v>1272</v>
      </c>
      <c r="C8" t="s">
        <v>387</v>
      </c>
      <c r="D8" t="s">
        <v>1631</v>
      </c>
      <c r="E8">
        <v>3</v>
      </c>
      <c r="F8" t="s">
        <v>357</v>
      </c>
      <c r="G8" t="s">
        <v>1632</v>
      </c>
    </row>
    <row r="9" spans="1:14" x14ac:dyDescent="0.15">
      <c r="A9" t="s">
        <v>1633</v>
      </c>
      <c r="C9" t="s">
        <v>389</v>
      </c>
      <c r="D9" t="s">
        <v>1634</v>
      </c>
      <c r="E9">
        <v>3</v>
      </c>
      <c r="F9" t="s">
        <v>357</v>
      </c>
      <c r="G9" t="s">
        <v>1635</v>
      </c>
    </row>
    <row r="10" spans="1:14" x14ac:dyDescent="0.15">
      <c r="A10" t="s">
        <v>1488</v>
      </c>
      <c r="C10" t="s">
        <v>391</v>
      </c>
      <c r="D10" t="s">
        <v>1636</v>
      </c>
      <c r="E10">
        <v>4</v>
      </c>
      <c r="F10" t="s">
        <v>357</v>
      </c>
      <c r="G10" t="s">
        <v>1637</v>
      </c>
    </row>
    <row r="11" spans="1:14" x14ac:dyDescent="0.15">
      <c r="A11" t="s">
        <v>1491</v>
      </c>
      <c r="C11" t="s">
        <v>393</v>
      </c>
      <c r="D11" t="s">
        <v>1638</v>
      </c>
      <c r="E11">
        <v>4</v>
      </c>
      <c r="F11" t="s">
        <v>353</v>
      </c>
      <c r="G11" t="s">
        <v>1637</v>
      </c>
    </row>
    <row r="12" spans="1:14" x14ac:dyDescent="0.15">
      <c r="A12" t="s">
        <v>1388</v>
      </c>
      <c r="C12" t="s">
        <v>395</v>
      </c>
      <c r="D12" t="s">
        <v>1639</v>
      </c>
      <c r="E12">
        <v>4</v>
      </c>
      <c r="F12" t="s">
        <v>353</v>
      </c>
      <c r="G12" t="s">
        <v>1637</v>
      </c>
    </row>
    <row r="13" spans="1:14" x14ac:dyDescent="0.15">
      <c r="A13" t="s">
        <v>1499</v>
      </c>
      <c r="C13" t="s">
        <v>397</v>
      </c>
      <c r="D13" t="s">
        <v>1640</v>
      </c>
      <c r="E13">
        <v>4</v>
      </c>
      <c r="F13" t="s">
        <v>361</v>
      </c>
      <c r="G13" t="s">
        <v>1637</v>
      </c>
    </row>
    <row r="14" spans="1:14" x14ac:dyDescent="0.15">
      <c r="A14" t="s">
        <v>1237</v>
      </c>
      <c r="C14" t="s">
        <v>399</v>
      </c>
      <c r="D14" t="s">
        <v>1641</v>
      </c>
      <c r="E14">
        <v>4</v>
      </c>
      <c r="F14" t="s">
        <v>357</v>
      </c>
      <c r="G14" t="s">
        <v>1637</v>
      </c>
    </row>
    <row r="15" spans="1:14" x14ac:dyDescent="0.15">
      <c r="A15" t="s">
        <v>1239</v>
      </c>
      <c r="C15" t="s">
        <v>401</v>
      </c>
    </row>
    <row r="16" spans="1:14" x14ac:dyDescent="0.15">
      <c r="A16" t="s">
        <v>1390</v>
      </c>
      <c r="C16" t="s">
        <v>402</v>
      </c>
    </row>
    <row r="17" spans="1:3" x14ac:dyDescent="0.15">
      <c r="A17" t="s">
        <v>1274</v>
      </c>
      <c r="C17" t="s">
        <v>403</v>
      </c>
    </row>
    <row r="18" spans="1:3" x14ac:dyDescent="0.15">
      <c r="A18" t="s">
        <v>1392</v>
      </c>
      <c r="C18" t="s">
        <v>404</v>
      </c>
    </row>
    <row r="19" spans="1:3" x14ac:dyDescent="0.15">
      <c r="A19" t="s">
        <v>1394</v>
      </c>
      <c r="C19" t="s">
        <v>405</v>
      </c>
    </row>
    <row r="20" spans="1:3" x14ac:dyDescent="0.15">
      <c r="A20" t="s">
        <v>1502</v>
      </c>
      <c r="C20" t="s">
        <v>1642</v>
      </c>
    </row>
    <row r="21" spans="1:3" x14ac:dyDescent="0.15">
      <c r="A21" t="s">
        <v>1643</v>
      </c>
      <c r="C21" t="s">
        <v>1644</v>
      </c>
    </row>
    <row r="22" spans="1:3" x14ac:dyDescent="0.15">
      <c r="A22" t="s">
        <v>1645</v>
      </c>
      <c r="C22" t="s">
        <v>1646</v>
      </c>
    </row>
    <row r="23" spans="1:3" x14ac:dyDescent="0.15">
      <c r="A23" t="s">
        <v>1516</v>
      </c>
      <c r="C23" t="s">
        <v>1647</v>
      </c>
    </row>
    <row r="24" spans="1:3" x14ac:dyDescent="0.15">
      <c r="A24" t="s">
        <v>1648</v>
      </c>
      <c r="C24" t="s">
        <v>1649</v>
      </c>
    </row>
    <row r="25" spans="1:3" x14ac:dyDescent="0.15">
      <c r="A25" t="s">
        <v>1518</v>
      </c>
      <c r="C25" t="s">
        <v>1650</v>
      </c>
    </row>
    <row r="26" spans="1:3" x14ac:dyDescent="0.15">
      <c r="A26" t="s">
        <v>1397</v>
      </c>
      <c r="C26" t="s">
        <v>1651</v>
      </c>
    </row>
    <row r="27" spans="1:3" x14ac:dyDescent="0.15">
      <c r="A27" t="s">
        <v>1253</v>
      </c>
      <c r="C27" t="s">
        <v>1652</v>
      </c>
    </row>
    <row r="28" spans="1:3" x14ac:dyDescent="0.15">
      <c r="A28" t="s">
        <v>1279</v>
      </c>
    </row>
    <row r="29" spans="1:3" x14ac:dyDescent="0.15">
      <c r="A29" t="s">
        <v>1283</v>
      </c>
    </row>
    <row r="30" spans="1:3" x14ac:dyDescent="0.15">
      <c r="A30" t="s">
        <v>1520</v>
      </c>
    </row>
    <row r="31" spans="1:3" x14ac:dyDescent="0.15">
      <c r="A31" t="s">
        <v>1400</v>
      </c>
    </row>
    <row r="32" spans="1:3" x14ac:dyDescent="0.15">
      <c r="A32" t="s">
        <v>1522</v>
      </c>
    </row>
    <row r="33" spans="1:1" x14ac:dyDescent="0.15">
      <c r="A33" t="s">
        <v>1288</v>
      </c>
    </row>
    <row r="34" spans="1:1" x14ac:dyDescent="0.15">
      <c r="A34" t="s">
        <v>1525</v>
      </c>
    </row>
    <row r="35" spans="1:1" x14ac:dyDescent="0.15">
      <c r="A35" t="s">
        <v>1560</v>
      </c>
    </row>
    <row r="36" spans="1:1" x14ac:dyDescent="0.15">
      <c r="A36" t="s">
        <v>1290</v>
      </c>
    </row>
    <row r="37" spans="1:1" x14ac:dyDescent="0.15">
      <c r="A37" t="s">
        <v>1534</v>
      </c>
    </row>
    <row r="38" spans="1:1" x14ac:dyDescent="0.15">
      <c r="A38" t="s">
        <v>1653</v>
      </c>
    </row>
    <row r="39" spans="1:1" x14ac:dyDescent="0.15">
      <c r="A39" t="s">
        <v>1539</v>
      </c>
    </row>
    <row r="40" spans="1:1" x14ac:dyDescent="0.15">
      <c r="A40" t="s">
        <v>1602</v>
      </c>
    </row>
    <row r="41" spans="1:1" x14ac:dyDescent="0.15">
      <c r="A41" t="s">
        <v>1255</v>
      </c>
    </row>
    <row r="42" spans="1:1" x14ac:dyDescent="0.15">
      <c r="A42" t="s">
        <v>1407</v>
      </c>
    </row>
    <row r="43" spans="1:1" x14ac:dyDescent="0.15">
      <c r="A43" t="s">
        <v>1654</v>
      </c>
    </row>
    <row r="44" spans="1:1" x14ac:dyDescent="0.15">
      <c r="A44" t="s">
        <v>1655</v>
      </c>
    </row>
    <row r="45" spans="1:1" x14ac:dyDescent="0.15">
      <c r="A45" t="s">
        <v>1656</v>
      </c>
    </row>
    <row r="46" spans="1:1" x14ac:dyDescent="0.15">
      <c r="A46" t="s">
        <v>1543</v>
      </c>
    </row>
    <row r="47" spans="1:1" x14ac:dyDescent="0.15">
      <c r="A47" t="s">
        <v>1331</v>
      </c>
    </row>
    <row r="48" spans="1:1" x14ac:dyDescent="0.15">
      <c r="A48" t="s">
        <v>1413</v>
      </c>
    </row>
    <row r="49" spans="1:1" x14ac:dyDescent="0.15">
      <c r="A49" t="s">
        <v>1410</v>
      </c>
    </row>
    <row r="50" spans="1:1" x14ac:dyDescent="0.15">
      <c r="A50" t="s">
        <v>1605</v>
      </c>
    </row>
    <row r="51" spans="1:1" x14ac:dyDescent="0.15">
      <c r="A51" t="s">
        <v>1546</v>
      </c>
    </row>
    <row r="52" spans="1:1" x14ac:dyDescent="0.15">
      <c r="A52" t="s">
        <v>1333</v>
      </c>
    </row>
    <row r="53" spans="1:1" x14ac:dyDescent="0.15">
      <c r="A53" t="s">
        <v>1657</v>
      </c>
    </row>
    <row r="54" spans="1:1" x14ac:dyDescent="0.15">
      <c r="A54" t="s">
        <v>1548</v>
      </c>
    </row>
    <row r="55" spans="1:1" x14ac:dyDescent="0.15">
      <c r="A55" t="s">
        <v>1658</v>
      </c>
    </row>
    <row r="56" spans="1:1" x14ac:dyDescent="0.15">
      <c r="A56" t="s">
        <v>1341</v>
      </c>
    </row>
    <row r="57" spans="1:1" x14ac:dyDescent="0.15">
      <c r="A57" t="s">
        <v>1659</v>
      </c>
    </row>
    <row r="58" spans="1:1" x14ac:dyDescent="0.15">
      <c r="A58" t="s">
        <v>1599</v>
      </c>
    </row>
    <row r="59" spans="1:1" x14ac:dyDescent="0.15">
      <c r="A59" t="s">
        <v>1660</v>
      </c>
    </row>
    <row r="60" spans="1:1" x14ac:dyDescent="0.15">
      <c r="A60" t="s">
        <v>1550</v>
      </c>
    </row>
    <row r="61" spans="1:1" x14ac:dyDescent="0.15">
      <c r="A61" t="s">
        <v>1661</v>
      </c>
    </row>
    <row r="62" spans="1:1" x14ac:dyDescent="0.15">
      <c r="A62" t="s">
        <v>1553</v>
      </c>
    </row>
    <row r="63" spans="1:1" x14ac:dyDescent="0.15">
      <c r="A63" t="s">
        <v>1662</v>
      </c>
    </row>
    <row r="64" spans="1:1" x14ac:dyDescent="0.15">
      <c r="A64" t="s">
        <v>1356</v>
      </c>
    </row>
    <row r="65" spans="1:1" x14ac:dyDescent="0.15">
      <c r="A65" t="s">
        <v>1555</v>
      </c>
    </row>
    <row r="66" spans="1:1" x14ac:dyDescent="0.15">
      <c r="A66" t="s">
        <v>1431</v>
      </c>
    </row>
    <row r="67" spans="1:1" x14ac:dyDescent="0.15">
      <c r="A67" t="s">
        <v>1663</v>
      </c>
    </row>
    <row r="68" spans="1:1" x14ac:dyDescent="0.15">
      <c r="A68" t="s">
        <v>1557</v>
      </c>
    </row>
    <row r="69" spans="1:1" x14ac:dyDescent="0.15">
      <c r="A69" t="s">
        <v>1664</v>
      </c>
    </row>
    <row r="70" spans="1:1" x14ac:dyDescent="0.15">
      <c r="A70" t="s">
        <v>1665</v>
      </c>
    </row>
    <row r="71" spans="1:1" x14ac:dyDescent="0.15">
      <c r="A71" t="s">
        <v>1247</v>
      </c>
    </row>
    <row r="72" spans="1:1" x14ac:dyDescent="0.15">
      <c r="A72" t="s">
        <v>1358</v>
      </c>
    </row>
    <row r="73" spans="1:1" x14ac:dyDescent="0.15">
      <c r="A73" t="s">
        <v>1666</v>
      </c>
    </row>
    <row r="74" spans="1:1" x14ac:dyDescent="0.15">
      <c r="A74" t="s">
        <v>1363</v>
      </c>
    </row>
    <row r="75" spans="1:1" x14ac:dyDescent="0.15">
      <c r="A75" t="s">
        <v>1365</v>
      </c>
    </row>
    <row r="76" spans="1:1" x14ac:dyDescent="0.15">
      <c r="A76" t="s">
        <v>1434</v>
      </c>
    </row>
    <row r="77" spans="1:1" x14ac:dyDescent="0.15">
      <c r="A77" t="s">
        <v>1440</v>
      </c>
    </row>
    <row r="78" spans="1:1" x14ac:dyDescent="0.15">
      <c r="A78" t="s">
        <v>1667</v>
      </c>
    </row>
    <row r="79" spans="1:1" x14ac:dyDescent="0.15">
      <c r="A79" t="s">
        <v>1668</v>
      </c>
    </row>
    <row r="80" spans="1:1" x14ac:dyDescent="0.15">
      <c r="A80" t="s">
        <v>1456</v>
      </c>
    </row>
    <row r="81" spans="1:1" x14ac:dyDescent="0.15">
      <c r="A81" t="s">
        <v>1459</v>
      </c>
    </row>
    <row r="82" spans="1:1" x14ac:dyDescent="0.15">
      <c r="A82" t="s">
        <v>1597</v>
      </c>
    </row>
    <row r="83" spans="1:1" x14ac:dyDescent="0.15">
      <c r="A83" t="s">
        <v>1669</v>
      </c>
    </row>
    <row r="84" spans="1:1" x14ac:dyDescent="0.15">
      <c r="A84" t="s">
        <v>1562</v>
      </c>
    </row>
    <row r="85" spans="1:1" x14ac:dyDescent="0.15">
      <c r="A85" t="s">
        <v>1251</v>
      </c>
    </row>
    <row r="86" spans="1:1" x14ac:dyDescent="0.15">
      <c r="A86" t="s">
        <v>1265</v>
      </c>
    </row>
    <row r="87" spans="1:1" x14ac:dyDescent="0.15">
      <c r="A87" t="s">
        <v>1564</v>
      </c>
    </row>
    <row r="88" spans="1:1" x14ac:dyDescent="0.15">
      <c r="A88" t="s">
        <v>1462</v>
      </c>
    </row>
    <row r="89" spans="1:1" x14ac:dyDescent="0.15">
      <c r="A89" t="s">
        <v>1338</v>
      </c>
    </row>
    <row r="90" spans="1:1" x14ac:dyDescent="0.15">
      <c r="A90" t="s">
        <v>1367</v>
      </c>
    </row>
    <row r="91" spans="1:1" x14ac:dyDescent="0.15">
      <c r="A91" t="s">
        <v>1472</v>
      </c>
    </row>
    <row r="92" spans="1:1" x14ac:dyDescent="0.15">
      <c r="A92" t="s">
        <v>1586</v>
      </c>
    </row>
    <row r="93" spans="1:1" x14ac:dyDescent="0.15">
      <c r="A93" t="s">
        <v>1670</v>
      </c>
    </row>
    <row r="94" spans="1:1" x14ac:dyDescent="0.15">
      <c r="A94" t="s">
        <v>1588</v>
      </c>
    </row>
    <row r="95" spans="1:1" x14ac:dyDescent="0.15">
      <c r="A95" t="s">
        <v>1373</v>
      </c>
    </row>
    <row r="96" spans="1:1" x14ac:dyDescent="0.15">
      <c r="A96" t="s">
        <v>1591</v>
      </c>
    </row>
    <row r="97" spans="1:1" x14ac:dyDescent="0.15">
      <c r="A97" t="s">
        <v>1241</v>
      </c>
    </row>
    <row r="98" spans="1:1" x14ac:dyDescent="0.1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6" t="e">
        <f>Spolu!C3&amp;", "&amp;Spolu!C6</f>
        <v>#REF!</v>
      </c>
      <c r="B1" s="366"/>
      <c r="C1" s="366"/>
      <c r="N1" s="137" t="str">
        <f>O1&amp;" - "&amp;P1</f>
        <v>a - príspevok uznaným športom</v>
      </c>
      <c r="O1" s="137" t="s">
        <v>375</v>
      </c>
      <c r="P1" s="137" t="s">
        <v>376</v>
      </c>
    </row>
    <row r="2" spans="1:16" x14ac:dyDescent="0.15">
      <c r="N2" s="137" t="str">
        <f t="shared" ref="N2:N18" si="0">O2&amp;" - "&amp;P2</f>
        <v>b - príspevok Slovenskému olympijskému a športovému výboru</v>
      </c>
      <c r="O2" s="137" t="s">
        <v>377</v>
      </c>
      <c r="P2" s="137" t="s">
        <v>378</v>
      </c>
    </row>
    <row r="3" spans="1:16" x14ac:dyDescent="0.15">
      <c r="E3" s="367" t="s">
        <v>1671</v>
      </c>
      <c r="F3" s="368"/>
      <c r="N3" s="137" t="str">
        <f t="shared" si="0"/>
        <v>c - príspevok Slovenskému paralympijskému výboru</v>
      </c>
      <c r="O3" s="137" t="s">
        <v>379</v>
      </c>
      <c r="P3" s="137" t="s">
        <v>380</v>
      </c>
    </row>
    <row r="4" spans="1:16" ht="45.75" customHeight="1" x14ac:dyDescent="0.15">
      <c r="E4" s="368"/>
      <c r="F4" s="368"/>
      <c r="N4" s="137" t="str">
        <f t="shared" si="0"/>
        <v>d - príspevok športovcom top tímu</v>
      </c>
      <c r="O4" s="137" t="s">
        <v>381</v>
      </c>
      <c r="P4" s="137" t="s">
        <v>382</v>
      </c>
    </row>
    <row r="5" spans="1:16" ht="30.75" customHeight="1" x14ac:dyDescent="0.15">
      <c r="C5" s="138" t="s">
        <v>1672</v>
      </c>
      <c r="N5" s="137" t="str">
        <f t="shared" si="0"/>
        <v>e - rozvoj športov, ktoré nie sú uznanými podľa zákona č. 440/2015 Z. z.</v>
      </c>
      <c r="O5" s="137" t="s">
        <v>383</v>
      </c>
      <c r="P5" s="137" t="s">
        <v>388</v>
      </c>
    </row>
    <row r="6" spans="1:16" ht="34" x14ac:dyDescent="0.15">
      <c r="C6" s="138" t="s">
        <v>1673</v>
      </c>
      <c r="E6" s="140" t="s">
        <v>1674</v>
      </c>
      <c r="F6" s="149"/>
      <c r="N6" s="137" t="str">
        <f t="shared" si="0"/>
        <v>f - organizovanie významných a tradičných športových podujatí na území SR v roku 2020</v>
      </c>
      <c r="O6" s="137" t="s">
        <v>385</v>
      </c>
      <c r="P6" s="137" t="s">
        <v>1675</v>
      </c>
    </row>
    <row r="7" spans="1:16" ht="17" x14ac:dyDescent="0.15">
      <c r="C7" s="138" t="s">
        <v>1676</v>
      </c>
      <c r="E7" s="140" t="s">
        <v>1677</v>
      </c>
      <c r="F7" s="150"/>
      <c r="N7" s="137" t="str">
        <f t="shared" si="0"/>
        <v>g - projekty školského, univerzitného športu a športu pre všetkých</v>
      </c>
      <c r="O7" s="137" t="s">
        <v>387</v>
      </c>
      <c r="P7" s="137" t="s">
        <v>1678</v>
      </c>
    </row>
    <row r="8" spans="1:16" ht="17" x14ac:dyDescent="0.15">
      <c r="C8" s="138" t="s">
        <v>1679</v>
      </c>
      <c r="E8" s="140" t="s">
        <v>1680</v>
      </c>
      <c r="F8" s="151"/>
      <c r="N8" s="137" t="str">
        <f t="shared" si="0"/>
        <v>h - podpora a rozvoj turistických a cykloturistických trás</v>
      </c>
      <c r="O8" s="137" t="s">
        <v>389</v>
      </c>
      <c r="P8" s="137" t="s">
        <v>390</v>
      </c>
    </row>
    <row r="9" spans="1:16" x14ac:dyDescent="0.1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15">
      <c r="N10" s="137" t="str">
        <f t="shared" si="0"/>
        <v>j - projekty pre popularizáciu pohybových aktivít detí, mládeže a seniorov</v>
      </c>
      <c r="O10" s="137" t="s">
        <v>393</v>
      </c>
      <c r="P10" s="137" t="s">
        <v>1683</v>
      </c>
    </row>
    <row r="11" spans="1:16" x14ac:dyDescent="0.15">
      <c r="N11" s="137" t="str">
        <f t="shared" si="0"/>
        <v>k - výstavba, modernizácia a rekonštrukcia športovej infraštruktúry národného významu</v>
      </c>
      <c r="O11" s="137" t="s">
        <v>395</v>
      </c>
      <c r="P11" s="137" t="s">
        <v>396</v>
      </c>
    </row>
    <row r="12" spans="1:16" ht="54.75" customHeight="1" x14ac:dyDescent="0.2">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15">
      <c r="F13" s="141"/>
      <c r="N13" s="137" t="str">
        <f t="shared" si="0"/>
        <v>m - plnenie úloh verejného záujmu v športe národnými športovými organizáciami</v>
      </c>
      <c r="O13" s="137" t="s">
        <v>399</v>
      </c>
      <c r="P13" s="137" t="s">
        <v>1685</v>
      </c>
    </row>
    <row r="14" spans="1:16" ht="45" customHeight="1" x14ac:dyDescent="0.15">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 customHeight="1" thickBot="1" x14ac:dyDescent="0.2">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1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15">
      <c r="A17" s="139" t="s">
        <v>1693</v>
      </c>
      <c r="B17" s="254" t="s">
        <v>1694</v>
      </c>
      <c r="C17" s="194"/>
      <c r="E17" s="147" t="s">
        <v>1695</v>
      </c>
      <c r="F17" s="284">
        <v>421947749445</v>
      </c>
      <c r="N17" s="137" t="str">
        <f t="shared" si="0"/>
        <v xml:space="preserve">q - </v>
      </c>
      <c r="O17" s="137" t="s">
        <v>404</v>
      </c>
    </row>
    <row r="18" spans="1:16" x14ac:dyDescent="0.15">
      <c r="B18" s="193" t="s">
        <v>1696</v>
      </c>
      <c r="C18" s="142" t="str">
        <f>Spolu!C4</f>
        <v>22665234</v>
      </c>
      <c r="E18" s="147" t="s">
        <v>1697</v>
      </c>
      <c r="F18" s="284">
        <v>421947749446</v>
      </c>
      <c r="N18" s="137" t="str">
        <f t="shared" si="0"/>
        <v xml:space="preserve">r - </v>
      </c>
      <c r="O18" s="137" t="s">
        <v>405</v>
      </c>
    </row>
    <row r="19" spans="1:16" x14ac:dyDescent="0.15">
      <c r="E19" s="147" t="s">
        <v>1698</v>
      </c>
      <c r="F19" s="284">
        <v>421947749756</v>
      </c>
    </row>
    <row r="20" spans="1:16" ht="17" thickBot="1" x14ac:dyDescent="0.2">
      <c r="A20" s="139" t="s">
        <v>433</v>
      </c>
      <c r="B20" s="143">
        <f>F6</f>
        <v>0</v>
      </c>
      <c r="E20" s="208"/>
      <c r="F20" s="285"/>
    </row>
    <row r="21" spans="1:16" ht="189" customHeight="1" x14ac:dyDescent="0.15">
      <c r="B21" s="211"/>
      <c r="C21" s="144"/>
    </row>
    <row r="22" spans="1:16" ht="39.75" customHeight="1" x14ac:dyDescent="0.15">
      <c r="B22" s="365" t="s">
        <v>1699</v>
      </c>
      <c r="C22" s="365"/>
      <c r="N22" s="137" t="str">
        <f>O22&amp;" - "&amp;P22</f>
        <v>026 01 - Šport pre všetkých, školský a univerzitný šport</v>
      </c>
      <c r="O22" s="137" t="s">
        <v>353</v>
      </c>
      <c r="P22" s="137" t="s">
        <v>354</v>
      </c>
    </row>
    <row r="23" spans="1:16" x14ac:dyDescent="0.15">
      <c r="N23" s="137" t="str">
        <f>O23&amp;" - "&amp;P23</f>
        <v>026 02 - Uznané športy</v>
      </c>
      <c r="O23" s="137" t="s">
        <v>355</v>
      </c>
      <c r="P23" s="137" t="s">
        <v>356</v>
      </c>
    </row>
    <row r="24" spans="1:16" x14ac:dyDescent="0.15">
      <c r="N24" s="137" t="str">
        <f>O24&amp;" - "&amp;P24</f>
        <v>026 03 - Národné športové projekty</v>
      </c>
      <c r="O24" s="137" t="s">
        <v>357</v>
      </c>
      <c r="P24" s="137" t="s">
        <v>358</v>
      </c>
    </row>
    <row r="25" spans="1:16" x14ac:dyDescent="0.15">
      <c r="N25" s="137" t="str">
        <f>O25&amp;" - "&amp;P25</f>
        <v>026 04 - Športová infraštruktúra</v>
      </c>
      <c r="O25" s="137" t="s">
        <v>359</v>
      </c>
      <c r="P25" s="137" t="s">
        <v>360</v>
      </c>
    </row>
    <row r="26" spans="1:16" x14ac:dyDescent="0.15">
      <c r="N26" s="137" t="str">
        <f>O26&amp;" - "&amp;P26</f>
        <v>026 05 - Prierezové činnosti v športe</v>
      </c>
      <c r="O26" s="137" t="s">
        <v>361</v>
      </c>
      <c r="P26" s="137" t="s">
        <v>362</v>
      </c>
    </row>
    <row r="28" spans="1:16" x14ac:dyDescent="0.15">
      <c r="N28" s="137" t="s">
        <v>1700</v>
      </c>
    </row>
    <row r="29" spans="1:16" x14ac:dyDescent="0.15">
      <c r="N29" s="137" t="s">
        <v>1701</v>
      </c>
    </row>
    <row r="30" spans="1:16" x14ac:dyDescent="0.1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6" t="e">
        <f>Spolu!C3&amp;", "&amp;Spolu!C6</f>
        <v>#REF!</v>
      </c>
      <c r="B1" s="366"/>
      <c r="C1" s="366"/>
      <c r="N1" s="137" t="str">
        <f>O1&amp;" - "&amp;P1</f>
        <v>a - príspevok uznaným športom</v>
      </c>
      <c r="O1" s="137" t="s">
        <v>375</v>
      </c>
      <c r="P1" s="137" t="str">
        <f>Spolu!B17</f>
        <v>príspevok uznaným športom</v>
      </c>
    </row>
    <row r="2" spans="1:16" x14ac:dyDescent="0.15">
      <c r="N2" s="137" t="str">
        <f t="shared" ref="N2:N19" si="0">O2&amp;" - "&amp;P2</f>
        <v>b - príspevok Slovenskému olympijskému a športovému výboru</v>
      </c>
      <c r="O2" s="137" t="s">
        <v>377</v>
      </c>
      <c r="P2" s="137" t="str">
        <f>Spolu!B18</f>
        <v>príspevok Slovenskému olympijskému a športovému výboru</v>
      </c>
    </row>
    <row r="3" spans="1:16" x14ac:dyDescent="0.15">
      <c r="E3" s="367" t="s">
        <v>1671</v>
      </c>
      <c r="F3" s="368"/>
      <c r="N3" s="137" t="str">
        <f t="shared" si="0"/>
        <v>c - príspevok Slovenskému paralympijskému výboru</v>
      </c>
      <c r="O3" s="137" t="s">
        <v>379</v>
      </c>
      <c r="P3" s="137" t="str">
        <f>Spolu!B19</f>
        <v>príspevok Slovenskému paralympijskému výboru</v>
      </c>
    </row>
    <row r="4" spans="1:16" ht="45.75" customHeight="1" x14ac:dyDescent="0.15">
      <c r="E4" s="368"/>
      <c r="F4" s="368"/>
      <c r="N4" s="137" t="str">
        <f t="shared" si="0"/>
        <v>d - príspevok športovcom top tímu</v>
      </c>
      <c r="O4" s="137" t="s">
        <v>381</v>
      </c>
      <c r="P4" s="137" t="str">
        <f>Spolu!B20</f>
        <v>príspevok športovcom top tímu</v>
      </c>
    </row>
    <row r="5" spans="1:16" ht="30.75" customHeight="1" x14ac:dyDescent="0.1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4" x14ac:dyDescent="0.15">
      <c r="C6" s="138" t="s">
        <v>1673</v>
      </c>
      <c r="E6" s="140" t="s">
        <v>1674</v>
      </c>
      <c r="F6" s="149"/>
      <c r="N6" s="137" t="str">
        <f t="shared" si="0"/>
        <v>f - plnenie úloh verejného záujmu v športe</v>
      </c>
      <c r="O6" s="137" t="s">
        <v>385</v>
      </c>
      <c r="P6" s="137" t="str">
        <f>Spolu!B22</f>
        <v>plnenie úloh verejného záujmu v športe</v>
      </c>
    </row>
    <row r="7" spans="1:16" ht="17" x14ac:dyDescent="0.1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ht="17" x14ac:dyDescent="0.1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1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1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25" customHeight="1" x14ac:dyDescent="0.15">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25" customHeight="1" x14ac:dyDescent="0.15">
      <c r="A14" s="139" t="s">
        <v>1687</v>
      </c>
      <c r="B14" s="371" t="s">
        <v>1707</v>
      </c>
      <c r="C14" s="372"/>
      <c r="F14" s="311"/>
      <c r="N14" s="137" t="str">
        <f t="shared" si="0"/>
        <v xml:space="preserve">n - </v>
      </c>
      <c r="O14" s="137" t="s">
        <v>401</v>
      </c>
    </row>
    <row r="15" spans="1:16" ht="34.25" customHeight="1" x14ac:dyDescent="0.15">
      <c r="A15" s="139" t="s">
        <v>1708</v>
      </c>
      <c r="B15" s="371"/>
      <c r="C15" s="372"/>
      <c r="F15" s="374"/>
      <c r="N15" s="137" t="str">
        <f t="shared" si="0"/>
        <v xml:space="preserve">o - </v>
      </c>
      <c r="O15" s="137" t="s">
        <v>402</v>
      </c>
    </row>
    <row r="16" spans="1:16" x14ac:dyDescent="0.15">
      <c r="A16" s="139" t="s">
        <v>1690</v>
      </c>
      <c r="B16" s="142">
        <f>F8</f>
        <v>0</v>
      </c>
      <c r="C16" s="137"/>
      <c r="F16" s="374"/>
      <c r="N16" s="137" t="str">
        <f t="shared" si="0"/>
        <v xml:space="preserve">p - </v>
      </c>
      <c r="O16" s="137" t="s">
        <v>403</v>
      </c>
    </row>
    <row r="17" spans="1:16" ht="32" customHeight="1" x14ac:dyDescent="0.15">
      <c r="A17" s="139" t="s">
        <v>1693</v>
      </c>
      <c r="B17" s="142">
        <f>F9</f>
        <v>0</v>
      </c>
      <c r="C17" s="137"/>
      <c r="F17" s="374"/>
      <c r="N17" s="137" t="str">
        <f t="shared" si="0"/>
        <v xml:space="preserve">q - </v>
      </c>
      <c r="O17" s="137" t="s">
        <v>404</v>
      </c>
    </row>
    <row r="18" spans="1:16" ht="17" thickBot="1" x14ac:dyDescent="0.2">
      <c r="B18" s="193" t="s">
        <v>1709</v>
      </c>
      <c r="C18" s="194">
        <v>31</v>
      </c>
      <c r="N18" s="137" t="str">
        <f t="shared" si="0"/>
        <v xml:space="preserve">r - </v>
      </c>
      <c r="O18" s="137" t="s">
        <v>405</v>
      </c>
    </row>
    <row r="19" spans="1:16" x14ac:dyDescent="0.15">
      <c r="B19" s="193" t="s">
        <v>1696</v>
      </c>
      <c r="C19" s="142" t="str">
        <f>Spolu!C4</f>
        <v>22665234</v>
      </c>
      <c r="F19" s="145" t="s">
        <v>1691</v>
      </c>
      <c r="G19" s="207"/>
      <c r="H19" s="146"/>
      <c r="N19" s="137" t="str">
        <f t="shared" si="0"/>
        <v xml:space="preserve"> - </v>
      </c>
    </row>
    <row r="20" spans="1:16" x14ac:dyDescent="0.15">
      <c r="A20" s="139" t="s">
        <v>433</v>
      </c>
      <c r="B20" s="143">
        <f>F6</f>
        <v>0</v>
      </c>
      <c r="C20" s="137"/>
      <c r="F20" s="147" t="s">
        <v>1695</v>
      </c>
      <c r="G20" s="286">
        <v>421947749445</v>
      </c>
      <c r="H20" s="148"/>
    </row>
    <row r="21" spans="1:16" x14ac:dyDescent="0.15">
      <c r="B21" s="137"/>
      <c r="C21" s="137"/>
      <c r="F21" s="147" t="s">
        <v>1697</v>
      </c>
      <c r="G21" s="286">
        <v>421947749446</v>
      </c>
      <c r="H21" s="148"/>
      <c r="N21" s="137" t="str">
        <f>O21&amp;" - "&amp;P21</f>
        <v>026 01 - Šport pre všetkých, školský a univerzitný šport</v>
      </c>
      <c r="O21" s="137" t="s">
        <v>353</v>
      </c>
      <c r="P21" s="137" t="s">
        <v>354</v>
      </c>
    </row>
    <row r="22" spans="1:16" x14ac:dyDescent="0.15">
      <c r="A22" s="137"/>
      <c r="B22" s="137"/>
      <c r="F22" s="147" t="s">
        <v>1698</v>
      </c>
      <c r="G22" s="286">
        <v>421947749756</v>
      </c>
      <c r="H22" s="148"/>
      <c r="N22" s="137" t="str">
        <f>O22&amp;" - "&amp;P22</f>
        <v>026 02 - Uznané športy</v>
      </c>
      <c r="O22" s="137" t="s">
        <v>355</v>
      </c>
      <c r="P22" s="137" t="s">
        <v>356</v>
      </c>
    </row>
    <row r="23" spans="1:16" ht="80.5" customHeight="1" thickBot="1" x14ac:dyDescent="0.2">
      <c r="B23" s="211"/>
      <c r="C23" s="206"/>
      <c r="E23" s="138"/>
      <c r="F23" s="208"/>
      <c r="G23" s="209"/>
      <c r="H23" s="210"/>
      <c r="N23" s="137" t="str">
        <f>O23&amp;" - "&amp;P23</f>
        <v>026 03 - Národné športové projekty</v>
      </c>
      <c r="O23" s="137" t="s">
        <v>357</v>
      </c>
      <c r="P23" s="137" t="s">
        <v>358</v>
      </c>
    </row>
    <row r="24" spans="1:16" ht="39.75" customHeight="1" x14ac:dyDescent="0.15">
      <c r="A24" s="264"/>
      <c r="B24" s="373" t="s">
        <v>1699</v>
      </c>
      <c r="C24" s="373"/>
      <c r="N24" s="137" t="str">
        <f>O24&amp;" - "&amp;P24</f>
        <v>026 04 - Športová infraštruktúra</v>
      </c>
      <c r="O24" s="137" t="s">
        <v>359</v>
      </c>
      <c r="P24" s="137" t="s">
        <v>360</v>
      </c>
    </row>
    <row r="25" spans="1:16" x14ac:dyDescent="0.15">
      <c r="N25" s="137" t="str">
        <f>O25&amp;" - "&amp;P25</f>
        <v>026 05 - Prierezové činnosti v športe</v>
      </c>
      <c r="O25" s="137" t="s">
        <v>361</v>
      </c>
      <c r="P25" s="137" t="s">
        <v>362</v>
      </c>
    </row>
    <row r="27" spans="1:16" x14ac:dyDescent="0.15">
      <c r="N27" s="137" t="s">
        <v>1710</v>
      </c>
    </row>
    <row r="28" spans="1:16" x14ac:dyDescent="0.15">
      <c r="N28" s="137" t="s">
        <v>1711</v>
      </c>
    </row>
    <row r="29" spans="1:16" x14ac:dyDescent="0.1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1713</v>
      </c>
    </row>
    <row r="2" spans="1:2" ht="30" customHeight="1" x14ac:dyDescent="0.15">
      <c r="A2" s="375" t="s">
        <v>1714</v>
      </c>
      <c r="B2" s="375"/>
    </row>
    <row r="3" spans="1:2" x14ac:dyDescent="0.15">
      <c r="A3" s="61" t="s">
        <v>1715</v>
      </c>
      <c r="B3" s="61" t="s">
        <v>1716</v>
      </c>
    </row>
    <row r="4" spans="1:2" x14ac:dyDescent="0.15">
      <c r="A4" s="62" t="s">
        <v>1717</v>
      </c>
      <c r="B4" s="62" t="s">
        <v>1718</v>
      </c>
    </row>
    <row r="5" spans="1:2" x14ac:dyDescent="0.15">
      <c r="A5" s="62" t="s">
        <v>1719</v>
      </c>
      <c r="B5" s="62" t="s">
        <v>1720</v>
      </c>
    </row>
    <row r="6" spans="1:2" x14ac:dyDescent="0.15">
      <c r="A6" s="62" t="s">
        <v>1721</v>
      </c>
      <c r="B6" s="62" t="s">
        <v>1722</v>
      </c>
    </row>
    <row r="7" spans="1:2" x14ac:dyDescent="0.15">
      <c r="A7" s="62" t="s">
        <v>1723</v>
      </c>
      <c r="B7" s="62" t="s">
        <v>1724</v>
      </c>
    </row>
    <row r="8" spans="1:2" x14ac:dyDescent="0.15">
      <c r="A8" s="62" t="s">
        <v>1725</v>
      </c>
      <c r="B8" s="62" t="s">
        <v>1726</v>
      </c>
    </row>
    <row r="9" spans="1:2" x14ac:dyDescent="0.15">
      <c r="A9" s="62" t="s">
        <v>1727</v>
      </c>
      <c r="B9" s="62" t="s">
        <v>1728</v>
      </c>
    </row>
    <row r="10" spans="1:2" x14ac:dyDescent="0.15">
      <c r="A10" s="62" t="s">
        <v>1729</v>
      </c>
      <c r="B10" s="62" t="s">
        <v>1730</v>
      </c>
    </row>
    <row r="11" spans="1:2" x14ac:dyDescent="0.15">
      <c r="A11" s="62" t="s">
        <v>1731</v>
      </c>
      <c r="B11" s="62" t="s">
        <v>1732</v>
      </c>
    </row>
    <row r="12" spans="1:2" x14ac:dyDescent="0.15">
      <c r="A12" s="62" t="s">
        <v>1733</v>
      </c>
      <c r="B12" s="62" t="s">
        <v>1734</v>
      </c>
    </row>
    <row r="13" spans="1:2" x14ac:dyDescent="0.15">
      <c r="A13" s="62" t="s">
        <v>1735</v>
      </c>
      <c r="B13" s="62" t="s">
        <v>1736</v>
      </c>
    </row>
    <row r="14" spans="1:2" x14ac:dyDescent="0.15">
      <c r="A14" s="62" t="s">
        <v>1737</v>
      </c>
      <c r="B14" s="62" t="s">
        <v>1738</v>
      </c>
    </row>
    <row r="15" spans="1:2" x14ac:dyDescent="0.15">
      <c r="A15" s="62" t="s">
        <v>1739</v>
      </c>
      <c r="B15" s="62" t="s">
        <v>1740</v>
      </c>
    </row>
    <row r="16" spans="1:2" x14ac:dyDescent="0.15">
      <c r="A16" s="62" t="s">
        <v>1741</v>
      </c>
      <c r="B16" s="62" t="s">
        <v>1742</v>
      </c>
    </row>
    <row r="17" spans="1:2" x14ac:dyDescent="0.15">
      <c r="A17" s="62" t="s">
        <v>1743</v>
      </c>
      <c r="B17" s="62" t="s">
        <v>1744</v>
      </c>
    </row>
    <row r="18" spans="1:2" x14ac:dyDescent="0.15">
      <c r="A18" s="62" t="s">
        <v>1745</v>
      </c>
      <c r="B18" s="62" t="s">
        <v>1746</v>
      </c>
    </row>
    <row r="19" spans="1:2" x14ac:dyDescent="0.15">
      <c r="A19" s="62" t="s">
        <v>1747</v>
      </c>
      <c r="B19" s="62" t="s">
        <v>1748</v>
      </c>
    </row>
    <row r="20" spans="1:2" x14ac:dyDescent="0.15">
      <c r="A20" s="62" t="s">
        <v>1749</v>
      </c>
      <c r="B20" s="62" t="s">
        <v>1750</v>
      </c>
    </row>
    <row r="21" spans="1:2" x14ac:dyDescent="0.15">
      <c r="A21" s="62" t="s">
        <v>1751</v>
      </c>
      <c r="B21" s="62" t="s">
        <v>1752</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bdf28ae-65c4-4f6e-bc50-9bbd2c60ae30"/>
    <lcf76f155ced4ddcb4097134ff3c332f xmlns="1761cb37-c33f-42c7-9eeb-6f00cca254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4.xml><?xml version="1.0" encoding="utf-8"?>
<ds:datastoreItem xmlns:ds="http://schemas.openxmlformats.org/officeDocument/2006/customXml" ds:itemID="{FEDA7E59-5FA3-AD42-91B9-380FAA4B279A}">
  <ds:schemaRefs>
    <ds:schemaRef ds:uri="http://schemas.microsoft.com/office/2006/metadata/properties"/>
    <ds:schemaRef ds:uri="http://schemas.microsoft.com/office/infopath/2007/PartnerControls"/>
    <ds:schemaRef ds:uri="http://www.w3.org/XML/1998/namespace"/>
    <ds:schemaRef ds:uri="6bdf28ae-65c4-4f6e-bc50-9bbd2c60ae30"/>
    <ds:schemaRef ds:uri="http://purl.org/dc/elements/1.1/"/>
    <ds:schemaRef ds:uri="http://schemas.openxmlformats.org/package/2006/metadata/core-properties"/>
    <ds:schemaRef ds:uri="http://schemas.microsoft.com/office/2006/documentManagement/types"/>
    <ds:schemaRef ds:uri="1761cb37-c33f-42c7-9eeb-6f00cca254d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Robert Mezik-SZTPS</cp:lastModifiedBy>
  <cp:revision/>
  <dcterms:created xsi:type="dcterms:W3CDTF">2017-02-20T06:20:12Z</dcterms:created>
  <dcterms:modified xsi:type="dcterms:W3CDTF">2025-05-21T05:20:23Z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y fmtid="{D5CDD505-2E9C-101B-9397-08002B2CF9AE}" pid="13" name="MSIP_Label_defa4170-0d19-0005-0004-bc88714345d2_Enabled">
    <vt:lpwstr>true</vt:lpwstr>
  </property>
  <property fmtid="{D5CDD505-2E9C-101B-9397-08002B2CF9AE}" pid="14" name="MSIP_Label_defa4170-0d19-0005-0004-bc88714345d2_SetDate">
    <vt:lpwstr>2025-01-22T10:04:04Z</vt:lpwstr>
  </property>
  <property fmtid="{D5CDD505-2E9C-101B-9397-08002B2CF9AE}" pid="15" name="MSIP_Label_defa4170-0d19-0005-0004-bc88714345d2_Method">
    <vt:lpwstr>Standard</vt:lpwstr>
  </property>
  <property fmtid="{D5CDD505-2E9C-101B-9397-08002B2CF9AE}" pid="16" name="MSIP_Label_defa4170-0d19-0005-0004-bc88714345d2_Name">
    <vt:lpwstr>defa4170-0d19-0005-0004-bc88714345d2</vt:lpwstr>
  </property>
  <property fmtid="{D5CDD505-2E9C-101B-9397-08002B2CF9AE}" pid="17" name="MSIP_Label_defa4170-0d19-0005-0004-bc88714345d2_SiteId">
    <vt:lpwstr>8e9b86cd-3ff9-4412-b358-62fa272e1859</vt:lpwstr>
  </property>
  <property fmtid="{D5CDD505-2E9C-101B-9397-08002B2CF9AE}" pid="18" name="MSIP_Label_defa4170-0d19-0005-0004-bc88714345d2_ActionId">
    <vt:lpwstr>9643fdfd-f1ca-4793-874a-8a050e1afff5</vt:lpwstr>
  </property>
  <property fmtid="{D5CDD505-2E9C-101B-9397-08002B2CF9AE}" pid="19" name="MSIP_Label_defa4170-0d19-0005-0004-bc88714345d2_ContentBits">
    <vt:lpwstr>0</vt:lpwstr>
  </property>
</Properties>
</file>